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I:\Masons Plastabrick Limited\10. Stage 10_Bracing Calculator\"/>
    </mc:Choice>
  </mc:AlternateContent>
  <xr:revisionPtr revIDLastSave="0" documentId="13_ncr:1_{7653EEF5-0CB0-4B68-993C-22DC22B82E39}" xr6:coauthVersionLast="47" xr6:coauthVersionMax="47" xr10:uidLastSave="{00000000-0000-0000-0000-000000000000}"/>
  <bookViews>
    <workbookView xWindow="-120" yWindow="-120" windowWidth="38640" windowHeight="21120" xr2:uid="{95D53A84-8AAD-4C02-AA2B-34EF7988A3C0}"/>
  </bookViews>
  <sheets>
    <sheet name="Bracing demand" sheetId="1" r:id="rId1"/>
    <sheet name="Bracing design(Single) " sheetId="2" r:id="rId2"/>
    <sheet name="Bracing design(Double-Upper)" sheetId="15" r:id="rId3"/>
    <sheet name="Bracing design(Double-Lower)" sheetId="13" r:id="rId4"/>
    <sheet name="Bracing design(Subfloor)" sheetId="14" r:id="rId5"/>
    <sheet name="Product Spec" sheetId="10" r:id="rId6"/>
  </sheets>
  <definedNames>
    <definedName name="_xlnm.Print_Area" localSheetId="0">'Bracing demand'!$A$1:$M$54</definedName>
    <definedName name="_xlnm.Print_Area" localSheetId="3">'Bracing design(Double-Lower)'!$A$1:$K$244</definedName>
    <definedName name="_xlnm.Print_Area" localSheetId="2">'Bracing design(Double-Upper)'!$A:$K</definedName>
    <definedName name="_xlnm.Print_Area" localSheetId="1">'Bracing design(Single) '!$A$1:$K$244</definedName>
    <definedName name="_xlnm.Print_Area" localSheetId="4">'Bracing design(Subfloor)'!$A$1:$K$244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9" i="14" l="1" a="1"/>
  <c r="J119" i="14" s="1"/>
  <c r="H119" i="14" a="1"/>
  <c r="H119" i="14" s="1"/>
  <c r="J108" i="14" a="1"/>
  <c r="J108" i="14" s="1"/>
  <c r="H108" i="14" a="1"/>
  <c r="H108" i="14" s="1"/>
  <c r="H97" i="14" a="1"/>
  <c r="H97" i="14" s="1"/>
  <c r="J97" i="14" a="1"/>
  <c r="J97" i="14" s="1"/>
  <c r="J86" i="14" a="1"/>
  <c r="J86" i="14" s="1"/>
  <c r="H86" i="14" a="1"/>
  <c r="H86" i="14" s="1"/>
  <c r="J75" i="14" a="1"/>
  <c r="J75" i="14" s="1"/>
  <c r="H75" i="14" a="1"/>
  <c r="H75" i="14" s="1"/>
  <c r="J64" i="14" a="1"/>
  <c r="J64" i="14" s="1"/>
  <c r="H64" i="14" a="1"/>
  <c r="H64" i="14" s="1"/>
  <c r="J53" i="14" a="1"/>
  <c r="J53" i="14" s="1"/>
  <c r="H53" i="14" a="1"/>
  <c r="H53" i="14" s="1"/>
  <c r="J42" i="14" a="1"/>
  <c r="J42" i="14" s="1"/>
  <c r="H42" i="14" a="1"/>
  <c r="H42" i="14" s="1"/>
  <c r="J31" i="14" a="1"/>
  <c r="J31" i="14" s="1"/>
  <c r="H31" i="14" a="1"/>
  <c r="H31" i="14" s="1"/>
  <c r="J153" i="14" a="1"/>
  <c r="J153" i="14" s="1"/>
  <c r="H153" i="14" a="1"/>
  <c r="H153" i="14" s="1"/>
  <c r="J164" i="14" a="1"/>
  <c r="J164" i="14" s="1"/>
  <c r="H164" i="14" a="1"/>
  <c r="H164" i="14" s="1"/>
  <c r="J175" i="14" a="1"/>
  <c r="J175" i="14" s="1"/>
  <c r="H175" i="14" a="1"/>
  <c r="H175" i="14" s="1"/>
  <c r="J186" i="14" a="1"/>
  <c r="J186" i="14" s="1"/>
  <c r="H186" i="14" a="1"/>
  <c r="H186" i="14" s="1"/>
  <c r="J197" i="14" a="1"/>
  <c r="J197" i="14" s="1"/>
  <c r="H197" i="14" a="1"/>
  <c r="H197" i="14" s="1"/>
  <c r="J208" i="14" a="1"/>
  <c r="J208" i="14" s="1"/>
  <c r="H208" i="14" a="1"/>
  <c r="H208" i="14" s="1"/>
  <c r="J219" i="14" a="1"/>
  <c r="J219" i="14" s="1"/>
  <c r="H219" i="14" a="1"/>
  <c r="H219" i="14" s="1"/>
  <c r="J230" i="14" a="1"/>
  <c r="J230" i="14" s="1"/>
  <c r="H230" i="14" a="1"/>
  <c r="H230" i="14" s="1"/>
  <c r="J241" i="14" a="1"/>
  <c r="J241" i="14" s="1"/>
  <c r="H241" i="14" a="1"/>
  <c r="H241" i="14" s="1"/>
  <c r="J153" i="13" a="1"/>
  <c r="J153" i="13" s="1"/>
  <c r="H153" i="13" a="1"/>
  <c r="H153" i="13" s="1"/>
  <c r="H165" i="13"/>
  <c r="J164" i="13" a="1"/>
  <c r="J164" i="13" s="1"/>
  <c r="H164" i="13" a="1"/>
  <c r="H164" i="13" s="1"/>
  <c r="J175" i="13" a="1"/>
  <c r="J175" i="13" s="1"/>
  <c r="H175" i="13" a="1"/>
  <c r="H175" i="13" s="1"/>
  <c r="J186" i="13" a="1"/>
  <c r="J186" i="13" s="1"/>
  <c r="H186" i="13" a="1"/>
  <c r="H186" i="13" s="1"/>
  <c r="J197" i="13" a="1"/>
  <c r="J197" i="13" s="1"/>
  <c r="H197" i="13" a="1"/>
  <c r="H197" i="13" s="1"/>
  <c r="J208" i="13" a="1"/>
  <c r="J208" i="13" s="1"/>
  <c r="H208" i="13" a="1"/>
  <c r="H208" i="13" s="1"/>
  <c r="J219" i="13" a="1"/>
  <c r="J219" i="13" s="1"/>
  <c r="H219" i="13" a="1"/>
  <c r="H219" i="13" s="1"/>
  <c r="J230" i="13" a="1"/>
  <c r="J230" i="13" s="1"/>
  <c r="H230" i="13" a="1"/>
  <c r="H230" i="13" s="1"/>
  <c r="J241" i="13" a="1"/>
  <c r="J241" i="13" s="1"/>
  <c r="H241" i="13" a="1"/>
  <c r="H241" i="13" s="1"/>
  <c r="J31" i="13" a="1"/>
  <c r="J31" i="13"/>
  <c r="H31" i="13" a="1"/>
  <c r="H31" i="13" s="1"/>
  <c r="J42" i="13" a="1"/>
  <c r="J42" i="13" s="1"/>
  <c r="H42" i="13" a="1"/>
  <c r="H42" i="13" s="1"/>
  <c r="J53" i="13" a="1"/>
  <c r="J53" i="13" s="1"/>
  <c r="H53" i="13" a="1"/>
  <c r="H53" i="13" s="1"/>
  <c r="J64" i="13" a="1"/>
  <c r="J64" i="13" s="1"/>
  <c r="H64" i="13" a="1"/>
  <c r="H64" i="13" s="1"/>
  <c r="J75" i="13" a="1"/>
  <c r="J75" i="13" s="1"/>
  <c r="H75" i="13" a="1"/>
  <c r="H75" i="13" s="1"/>
  <c r="J86" i="13" a="1"/>
  <c r="J86" i="13" s="1"/>
  <c r="H86" i="13" a="1"/>
  <c r="H86" i="13" s="1"/>
  <c r="J97" i="13" a="1"/>
  <c r="J97" i="13" s="1"/>
  <c r="H97" i="13" a="1"/>
  <c r="H97" i="13" s="1"/>
  <c r="J108" i="13" a="1"/>
  <c r="J108" i="13" s="1"/>
  <c r="H108" i="13" a="1"/>
  <c r="H108" i="13" s="1"/>
  <c r="J119" i="13" a="1"/>
  <c r="J119" i="13" s="1"/>
  <c r="H119" i="13" a="1"/>
  <c r="H119" i="13" s="1"/>
  <c r="I4" i="15"/>
  <c r="D4" i="15"/>
  <c r="J164" i="15" a="1"/>
  <c r="J164" i="15" s="1"/>
  <c r="H164" i="15" a="1"/>
  <c r="H164" i="15" s="1"/>
  <c r="J175" i="15" a="1"/>
  <c r="J175" i="15" s="1"/>
  <c r="H175" i="15" a="1"/>
  <c r="H175" i="15" s="1"/>
  <c r="J186" i="15" a="1"/>
  <c r="J186" i="15" s="1"/>
  <c r="H186" i="15" a="1"/>
  <c r="H186" i="15" s="1"/>
  <c r="J197" i="15" a="1"/>
  <c r="J197" i="15" s="1"/>
  <c r="H197" i="15" a="1"/>
  <c r="H197" i="15" s="1"/>
  <c r="J208" i="15" a="1"/>
  <c r="J208" i="15" s="1"/>
  <c r="H208" i="15" a="1"/>
  <c r="H208" i="15" s="1"/>
  <c r="J219" i="15" a="1"/>
  <c r="J219" i="15" s="1"/>
  <c r="H219" i="15" a="1"/>
  <c r="H219" i="15" s="1"/>
  <c r="J230" i="15" a="1"/>
  <c r="J230" i="15" s="1"/>
  <c r="H230" i="15" a="1"/>
  <c r="H230" i="15" s="1"/>
  <c r="J241" i="15" a="1"/>
  <c r="J241" i="15" s="1"/>
  <c r="H241" i="15" a="1"/>
  <c r="H241" i="15" s="1"/>
  <c r="J53" i="15" a="1"/>
  <c r="J53" i="15" s="1"/>
  <c r="H53" i="15" a="1"/>
  <c r="H53" i="15" s="1"/>
  <c r="J64" i="15" a="1"/>
  <c r="J64" i="15" s="1"/>
  <c r="H64" i="15" a="1"/>
  <c r="H64" i="15" s="1"/>
  <c r="J75" i="15" a="1"/>
  <c r="J75" i="15" s="1"/>
  <c r="H75" i="15" a="1"/>
  <c r="H75" i="15" s="1"/>
  <c r="J86" i="15" a="1"/>
  <c r="J86" i="15" s="1"/>
  <c r="H86" i="15" a="1"/>
  <c r="H86" i="15" s="1"/>
  <c r="J97" i="15" a="1"/>
  <c r="J97" i="15" s="1"/>
  <c r="H97" i="15" a="1"/>
  <c r="H97" i="15" s="1"/>
  <c r="J108" i="15" a="1"/>
  <c r="J108" i="15" s="1"/>
  <c r="H108" i="15" a="1"/>
  <c r="H108" i="15" s="1"/>
  <c r="J119" i="15" a="1"/>
  <c r="J119" i="15" s="1"/>
  <c r="H119" i="15" a="1"/>
  <c r="H119" i="15" s="1"/>
  <c r="J42" i="15" a="1"/>
  <c r="J42" i="15" s="1"/>
  <c r="H42" i="15" a="1"/>
  <c r="H42" i="15" s="1"/>
  <c r="J31" i="15" a="1"/>
  <c r="J31" i="15" s="1"/>
  <c r="J31" i="2" a="1"/>
  <c r="J31" i="2" s="1"/>
  <c r="H31" i="2" a="1"/>
  <c r="H31" i="2" s="1"/>
  <c r="J42" i="2" a="1"/>
  <c r="J42" i="2" s="1"/>
  <c r="H42" i="2" a="1"/>
  <c r="H42" i="2" s="1"/>
  <c r="J53" i="2" a="1"/>
  <c r="J53" i="2" s="1"/>
  <c r="H53" i="2" a="1"/>
  <c r="H53" i="2" s="1"/>
  <c r="J64" i="2" a="1"/>
  <c r="J64" i="2" s="1"/>
  <c r="H64" i="2" a="1"/>
  <c r="H64" i="2" s="1"/>
  <c r="J75" i="2" a="1"/>
  <c r="J75" i="2" s="1"/>
  <c r="H75" i="2" a="1"/>
  <c r="H75" i="2" s="1"/>
  <c r="J86" i="2" a="1"/>
  <c r="J86" i="2" s="1"/>
  <c r="H86" i="2" a="1"/>
  <c r="H86" i="2" s="1"/>
  <c r="J97" i="2" a="1"/>
  <c r="J97" i="2" s="1"/>
  <c r="H97" i="2" a="1"/>
  <c r="H97" i="2" s="1"/>
  <c r="J108" i="2" a="1"/>
  <c r="J108" i="2" s="1"/>
  <c r="H108" i="2" a="1"/>
  <c r="H108" i="2" s="1"/>
  <c r="J119" i="2" a="1"/>
  <c r="J119" i="2" s="1"/>
  <c r="H119" i="2" a="1"/>
  <c r="H119" i="2" s="1"/>
  <c r="J241" i="2" a="1"/>
  <c r="J241" i="2" s="1"/>
  <c r="J230" i="2" a="1"/>
  <c r="J230" i="2" s="1"/>
  <c r="J219" i="2" a="1"/>
  <c r="J219" i="2" s="1"/>
  <c r="J208" i="2" a="1"/>
  <c r="J208" i="2" s="1"/>
  <c r="J197" i="2" a="1"/>
  <c r="J197" i="2" s="1"/>
  <c r="J186" i="2" a="1"/>
  <c r="J186" i="2" s="1"/>
  <c r="J175" i="2" a="1"/>
  <c r="J175" i="2" s="1"/>
  <c r="J164" i="2" a="1"/>
  <c r="J164" i="2" s="1"/>
  <c r="J153" i="2" a="1"/>
  <c r="J153" i="2" s="1"/>
  <c r="H175" i="2" a="1"/>
  <c r="H175" i="2" s="1"/>
  <c r="H186" i="2" a="1"/>
  <c r="H186" i="2" s="1"/>
  <c r="H197" i="2" a="1"/>
  <c r="H197" i="2" s="1"/>
  <c r="H208" i="2" a="1"/>
  <c r="H208" i="2" s="1"/>
  <c r="H241" i="2" a="1"/>
  <c r="H241" i="2" s="1"/>
  <c r="H242" i="2"/>
  <c r="H20" i="2" a="1"/>
  <c r="H20" i="2" s="1"/>
  <c r="AD60" i="1"/>
  <c r="T10" i="1"/>
  <c r="T9" i="1"/>
  <c r="T7" i="1"/>
  <c r="I4" i="14" l="1"/>
  <c r="D4" i="14"/>
  <c r="I126" i="14"/>
  <c r="D126" i="14"/>
  <c r="I4" i="13"/>
  <c r="D4" i="13"/>
  <c r="I4" i="2"/>
  <c r="D4" i="2"/>
  <c r="D5" i="2" s="1"/>
  <c r="AD46" i="1"/>
  <c r="H136" i="14"/>
  <c r="R240" i="14"/>
  <c r="P240" i="14" s="1"/>
  <c r="Q240" i="14" a="1"/>
  <c r="Q240" i="14" s="1"/>
  <c r="J240" i="14"/>
  <c r="H240" i="14"/>
  <c r="R239" i="14"/>
  <c r="P239" i="14" s="1"/>
  <c r="Q239" i="14" a="1"/>
  <c r="Q239" i="14" s="1"/>
  <c r="J239" i="14"/>
  <c r="H239" i="14"/>
  <c r="R238" i="14"/>
  <c r="P238" i="14" s="1"/>
  <c r="Q238" i="14" a="1"/>
  <c r="Q238" i="14" s="1"/>
  <c r="J238" i="14"/>
  <c r="H238" i="14"/>
  <c r="R237" i="14"/>
  <c r="P237" i="14" s="1"/>
  <c r="Q237" i="14" a="1"/>
  <c r="Q237" i="14" s="1"/>
  <c r="J237" i="14"/>
  <c r="H237" i="14"/>
  <c r="R236" i="14"/>
  <c r="P236" i="14" s="1"/>
  <c r="Q236" i="14" a="1"/>
  <c r="Q236" i="14" s="1"/>
  <c r="J236" i="14"/>
  <c r="H236" i="14"/>
  <c r="V235" i="14"/>
  <c r="R235" i="14"/>
  <c r="P235" i="14" s="1"/>
  <c r="Q235" i="14" a="1"/>
  <c r="Q235" i="14" s="1"/>
  <c r="J235" i="14"/>
  <c r="H235" i="14"/>
  <c r="R229" i="14"/>
  <c r="P229" i="14" s="1"/>
  <c r="Q229" i="14" a="1"/>
  <c r="Q229" i="14" s="1"/>
  <c r="J229" i="14"/>
  <c r="H229" i="14"/>
  <c r="R228" i="14"/>
  <c r="P228" i="14" s="1"/>
  <c r="Q228" i="14" a="1"/>
  <c r="Q228" i="14" s="1"/>
  <c r="J228" i="14"/>
  <c r="H228" i="14"/>
  <c r="R227" i="14"/>
  <c r="P227" i="14" s="1"/>
  <c r="Q227" i="14" a="1"/>
  <c r="Q227" i="14" s="1"/>
  <c r="J227" i="14"/>
  <c r="K227" i="14" s="1"/>
  <c r="H227" i="14"/>
  <c r="R226" i="14"/>
  <c r="P226" i="14" s="1"/>
  <c r="Q226" i="14" a="1"/>
  <c r="Q226" i="14" s="1"/>
  <c r="J226" i="14"/>
  <c r="H226" i="14"/>
  <c r="R225" i="14"/>
  <c r="P225" i="14" s="1"/>
  <c r="Q225" i="14" a="1"/>
  <c r="Q225" i="14" s="1"/>
  <c r="J225" i="14"/>
  <c r="H225" i="14"/>
  <c r="V224" i="14"/>
  <c r="R224" i="14"/>
  <c r="P224" i="14" s="1"/>
  <c r="Q224" i="14" a="1"/>
  <c r="Q224" i="14" s="1"/>
  <c r="J224" i="14"/>
  <c r="H224" i="14"/>
  <c r="R218" i="14"/>
  <c r="P218" i="14" s="1"/>
  <c r="Q218" i="14" a="1"/>
  <c r="Q218" i="14" s="1"/>
  <c r="J218" i="14"/>
  <c r="H218" i="14"/>
  <c r="R217" i="14"/>
  <c r="P217" i="14" s="1"/>
  <c r="Q217" i="14" a="1"/>
  <c r="Q217" i="14" s="1"/>
  <c r="J217" i="14"/>
  <c r="H217" i="14"/>
  <c r="R216" i="14"/>
  <c r="P216" i="14" s="1"/>
  <c r="Q216" i="14" a="1"/>
  <c r="Q216" i="14" s="1"/>
  <c r="J216" i="14"/>
  <c r="H216" i="14"/>
  <c r="R215" i="14"/>
  <c r="P215" i="14" s="1"/>
  <c r="Q215" i="14" a="1"/>
  <c r="Q215" i="14" s="1"/>
  <c r="J215" i="14"/>
  <c r="H215" i="14"/>
  <c r="R214" i="14"/>
  <c r="P214" i="14" s="1"/>
  <c r="Q214" i="14" a="1"/>
  <c r="Q214" i="14" s="1"/>
  <c r="J214" i="14"/>
  <c r="K214" i="14" s="1"/>
  <c r="H214" i="14"/>
  <c r="V213" i="14"/>
  <c r="R213" i="14"/>
  <c r="P213" i="14" s="1"/>
  <c r="Q213" i="14" a="1"/>
  <c r="Q213" i="14" s="1"/>
  <c r="J213" i="14"/>
  <c r="H213" i="14"/>
  <c r="R207" i="14"/>
  <c r="P207" i="14" s="1"/>
  <c r="Q207" i="14" a="1"/>
  <c r="Q207" i="14" s="1"/>
  <c r="J207" i="14"/>
  <c r="H207" i="14"/>
  <c r="R206" i="14"/>
  <c r="P206" i="14" s="1"/>
  <c r="I206" i="14" s="1"/>
  <c r="Q206" i="14" a="1"/>
  <c r="Q206" i="14" s="1"/>
  <c r="J206" i="14"/>
  <c r="H206" i="14"/>
  <c r="R205" i="14"/>
  <c r="P205" i="14" s="1"/>
  <c r="Q205" i="14" a="1"/>
  <c r="Q205" i="14" s="1"/>
  <c r="J205" i="14"/>
  <c r="H205" i="14"/>
  <c r="I205" i="14" s="1"/>
  <c r="R204" i="14"/>
  <c r="P204" i="14" s="1"/>
  <c r="Q204" i="14" a="1"/>
  <c r="Q204" i="14" s="1"/>
  <c r="J204" i="14"/>
  <c r="H204" i="14"/>
  <c r="R203" i="14"/>
  <c r="P203" i="14" s="1"/>
  <c r="Q203" i="14" a="1"/>
  <c r="Q203" i="14" s="1"/>
  <c r="J203" i="14"/>
  <c r="H203" i="14"/>
  <c r="V202" i="14"/>
  <c r="R202" i="14"/>
  <c r="P202" i="14" s="1"/>
  <c r="Q202" i="14" a="1"/>
  <c r="Q202" i="14" s="1"/>
  <c r="J202" i="14"/>
  <c r="H202" i="14"/>
  <c r="R196" i="14"/>
  <c r="P196" i="14" s="1"/>
  <c r="Q196" i="14" a="1"/>
  <c r="Q196" i="14" s="1"/>
  <c r="J196" i="14"/>
  <c r="H196" i="14"/>
  <c r="R195" i="14"/>
  <c r="P195" i="14" s="1"/>
  <c r="Q195" i="14" a="1"/>
  <c r="Q195" i="14" s="1"/>
  <c r="J195" i="14"/>
  <c r="H195" i="14"/>
  <c r="R194" i="14"/>
  <c r="P194" i="14" s="1"/>
  <c r="Q194" i="14" a="1"/>
  <c r="Q194" i="14" s="1"/>
  <c r="J194" i="14"/>
  <c r="H194" i="14"/>
  <c r="R193" i="14"/>
  <c r="P193" i="14" s="1"/>
  <c r="Q193" i="14" a="1"/>
  <c r="Q193" i="14" s="1"/>
  <c r="J193" i="14"/>
  <c r="H193" i="14"/>
  <c r="R192" i="14"/>
  <c r="P192" i="14" s="1"/>
  <c r="Q192" i="14" a="1"/>
  <c r="Q192" i="14" s="1"/>
  <c r="J192" i="14"/>
  <c r="K192" i="14" s="1"/>
  <c r="H192" i="14"/>
  <c r="V191" i="14"/>
  <c r="R191" i="14"/>
  <c r="P191" i="14" s="1"/>
  <c r="Q191" i="14" a="1"/>
  <c r="Q191" i="14" s="1"/>
  <c r="J191" i="14"/>
  <c r="H191" i="14"/>
  <c r="R185" i="14"/>
  <c r="P185" i="14" s="1"/>
  <c r="Q185" i="14" a="1"/>
  <c r="Q185" i="14" s="1"/>
  <c r="J185" i="14"/>
  <c r="H185" i="14"/>
  <c r="R184" i="14"/>
  <c r="P184" i="14" s="1"/>
  <c r="Q184" i="14" a="1"/>
  <c r="Q184" i="14" s="1"/>
  <c r="J184" i="14"/>
  <c r="H184" i="14"/>
  <c r="R183" i="14"/>
  <c r="P183" i="14" s="1"/>
  <c r="Q183" i="14"/>
  <c r="Q183" i="14" a="1"/>
  <c r="J183" i="14"/>
  <c r="H183" i="14"/>
  <c r="R182" i="14"/>
  <c r="P182" i="14" s="1"/>
  <c r="Q182" i="14"/>
  <c r="Q182" i="14" a="1"/>
  <c r="J182" i="14"/>
  <c r="H182" i="14"/>
  <c r="R181" i="14"/>
  <c r="P181" i="14" s="1"/>
  <c r="Q181" i="14" a="1"/>
  <c r="Q181" i="14" s="1"/>
  <c r="J181" i="14"/>
  <c r="H181" i="14"/>
  <c r="V180" i="14"/>
  <c r="R180" i="14"/>
  <c r="P180" i="14" s="1"/>
  <c r="Q180" i="14" a="1"/>
  <c r="Q180" i="14" s="1"/>
  <c r="J180" i="14"/>
  <c r="H180" i="14"/>
  <c r="R174" i="14"/>
  <c r="P174" i="14" s="1"/>
  <c r="Q174" i="14" a="1"/>
  <c r="Q174" i="14" s="1"/>
  <c r="J174" i="14"/>
  <c r="K174" i="14" s="1"/>
  <c r="H174" i="14"/>
  <c r="R173" i="14"/>
  <c r="P173" i="14" s="1"/>
  <c r="Q173" i="14" a="1"/>
  <c r="Q173" i="14" s="1"/>
  <c r="J173" i="14"/>
  <c r="H173" i="14"/>
  <c r="R172" i="14"/>
  <c r="P172" i="14" s="1"/>
  <c r="Q172" i="14" a="1"/>
  <c r="Q172" i="14" s="1"/>
  <c r="J172" i="14"/>
  <c r="H172" i="14"/>
  <c r="I172" i="14" s="1"/>
  <c r="R171" i="14"/>
  <c r="P171" i="14" s="1"/>
  <c r="Q171" i="14" a="1"/>
  <c r="Q171" i="14" s="1"/>
  <c r="J171" i="14"/>
  <c r="H171" i="14"/>
  <c r="R170" i="14"/>
  <c r="Q170" i="14" a="1"/>
  <c r="Q170" i="14" s="1"/>
  <c r="P170" i="14"/>
  <c r="I170" i="14" s="1"/>
  <c r="J170" i="14"/>
  <c r="H170" i="14"/>
  <c r="V169" i="14"/>
  <c r="R169" i="14"/>
  <c r="P169" i="14" s="1"/>
  <c r="Q169" i="14" a="1"/>
  <c r="Q169" i="14" s="1"/>
  <c r="J169" i="14"/>
  <c r="H169" i="14"/>
  <c r="R163" i="14"/>
  <c r="Q163" i="14" a="1"/>
  <c r="Q163" i="14" s="1"/>
  <c r="P163" i="14"/>
  <c r="J163" i="14"/>
  <c r="H163" i="14"/>
  <c r="R162" i="14"/>
  <c r="P162" i="14" s="1"/>
  <c r="Q162" i="14" a="1"/>
  <c r="Q162" i="14" s="1"/>
  <c r="J162" i="14"/>
  <c r="H162" i="14"/>
  <c r="R161" i="14"/>
  <c r="P161" i="14" s="1"/>
  <c r="Q161" i="14" a="1"/>
  <c r="Q161" i="14" s="1"/>
  <c r="J161" i="14"/>
  <c r="H161" i="14"/>
  <c r="R160" i="14"/>
  <c r="P160" i="14" s="1"/>
  <c r="Q160" i="14" a="1"/>
  <c r="Q160" i="14" s="1"/>
  <c r="J160" i="14"/>
  <c r="H160" i="14"/>
  <c r="R159" i="14"/>
  <c r="P159" i="14" s="1"/>
  <c r="Q159" i="14" a="1"/>
  <c r="Q159" i="14" s="1"/>
  <c r="J159" i="14"/>
  <c r="H159" i="14"/>
  <c r="V158" i="14"/>
  <c r="R158" i="14"/>
  <c r="P158" i="14" s="1"/>
  <c r="Q158" i="14" a="1"/>
  <c r="Q158" i="14" s="1"/>
  <c r="J158" i="14"/>
  <c r="H158" i="14"/>
  <c r="R152" i="14"/>
  <c r="Q152" i="14" a="1"/>
  <c r="Q152" i="14" s="1"/>
  <c r="P152" i="14"/>
  <c r="J152" i="14"/>
  <c r="H152" i="14"/>
  <c r="R151" i="14"/>
  <c r="P151" i="14" s="1"/>
  <c r="Q151" i="14" a="1"/>
  <c r="Q151" i="14" s="1"/>
  <c r="J151" i="14"/>
  <c r="H151" i="14"/>
  <c r="R150" i="14"/>
  <c r="P150" i="14" s="1"/>
  <c r="Q150" i="14" a="1"/>
  <c r="Q150" i="14" s="1"/>
  <c r="J150" i="14"/>
  <c r="H150" i="14"/>
  <c r="R149" i="14"/>
  <c r="P149" i="14" s="1"/>
  <c r="Q149" i="14" a="1"/>
  <c r="Q149" i="14" s="1"/>
  <c r="J149" i="14"/>
  <c r="H149" i="14"/>
  <c r="R148" i="14"/>
  <c r="P148" i="14" s="1"/>
  <c r="Q148" i="14" a="1"/>
  <c r="Q148" i="14" s="1"/>
  <c r="J148" i="14"/>
  <c r="H148" i="14"/>
  <c r="V147" i="14"/>
  <c r="R147" i="14"/>
  <c r="P147" i="14" s="1"/>
  <c r="Q147" i="14" a="1"/>
  <c r="Q147" i="14" s="1"/>
  <c r="J147" i="14"/>
  <c r="H147" i="14"/>
  <c r="R141" i="14"/>
  <c r="P141" i="14" s="1"/>
  <c r="Q141" i="14" a="1"/>
  <c r="Q141" i="14" s="1"/>
  <c r="J141" i="14"/>
  <c r="H141" i="14"/>
  <c r="R140" i="14"/>
  <c r="P140" i="14" s="1"/>
  <c r="Q140" i="14" a="1"/>
  <c r="Q140" i="14" s="1"/>
  <c r="J140" i="14"/>
  <c r="H140" i="14"/>
  <c r="R139" i="14"/>
  <c r="P139" i="14" s="1"/>
  <c r="Q139" i="14"/>
  <c r="Q139" i="14" a="1"/>
  <c r="J139" i="14"/>
  <c r="H139" i="14"/>
  <c r="R138" i="14"/>
  <c r="P138" i="14" s="1"/>
  <c r="Q138" i="14" a="1"/>
  <c r="Q138" i="14" s="1"/>
  <c r="J138" i="14"/>
  <c r="H138" i="14"/>
  <c r="R137" i="14"/>
  <c r="P137" i="14" s="1"/>
  <c r="Q137" i="14" a="1"/>
  <c r="Q137" i="14" s="1"/>
  <c r="J137" i="14"/>
  <c r="H137" i="14"/>
  <c r="V136" i="14"/>
  <c r="R136" i="14"/>
  <c r="P136" i="14" s="1"/>
  <c r="Q136" i="14" a="1"/>
  <c r="Q136" i="14" s="1"/>
  <c r="J136" i="14"/>
  <c r="J36" i="14"/>
  <c r="H114" i="14"/>
  <c r="H115" i="14"/>
  <c r="I115" i="14" s="1"/>
  <c r="H116" i="14"/>
  <c r="I116" i="14" s="1"/>
  <c r="H117" i="14"/>
  <c r="H118" i="14"/>
  <c r="J114" i="14"/>
  <c r="J115" i="14"/>
  <c r="J116" i="14"/>
  <c r="K116" i="14" s="1"/>
  <c r="J117" i="14"/>
  <c r="K117" i="14" s="1"/>
  <c r="J118" i="14"/>
  <c r="J113" i="14"/>
  <c r="H113" i="14"/>
  <c r="J103" i="14"/>
  <c r="J104" i="14"/>
  <c r="J105" i="14"/>
  <c r="J106" i="14"/>
  <c r="J107" i="14"/>
  <c r="K107" i="14" s="1"/>
  <c r="J102" i="14"/>
  <c r="H103" i="14"/>
  <c r="H104" i="14"/>
  <c r="H105" i="14"/>
  <c r="H106" i="14"/>
  <c r="H107" i="14"/>
  <c r="H102" i="14"/>
  <c r="J92" i="14"/>
  <c r="J93" i="14"/>
  <c r="J94" i="14"/>
  <c r="J95" i="14"/>
  <c r="J96" i="14"/>
  <c r="J91" i="14"/>
  <c r="H92" i="14"/>
  <c r="H93" i="14"/>
  <c r="H94" i="14"/>
  <c r="H95" i="14"/>
  <c r="H96" i="14"/>
  <c r="H91" i="14"/>
  <c r="J81" i="14"/>
  <c r="J82" i="14"/>
  <c r="J83" i="14"/>
  <c r="J84" i="14"/>
  <c r="K84" i="14" s="1"/>
  <c r="J85" i="14"/>
  <c r="J80" i="14"/>
  <c r="H81" i="14"/>
  <c r="H82" i="14"/>
  <c r="H83" i="14"/>
  <c r="H84" i="14"/>
  <c r="H85" i="14"/>
  <c r="H80" i="14"/>
  <c r="J70" i="14"/>
  <c r="J71" i="14"/>
  <c r="J72" i="14"/>
  <c r="J73" i="14"/>
  <c r="J74" i="14"/>
  <c r="J69" i="14"/>
  <c r="H70" i="14"/>
  <c r="H71" i="14"/>
  <c r="H72" i="14"/>
  <c r="H73" i="14"/>
  <c r="H74" i="14"/>
  <c r="H69" i="14"/>
  <c r="J48" i="14"/>
  <c r="J49" i="14"/>
  <c r="J50" i="14"/>
  <c r="J51" i="14"/>
  <c r="J52" i="14"/>
  <c r="J47" i="14"/>
  <c r="K47" i="14" s="1"/>
  <c r="J59" i="14"/>
  <c r="J60" i="14"/>
  <c r="J61" i="14"/>
  <c r="J62" i="14"/>
  <c r="J63" i="14"/>
  <c r="J58" i="14"/>
  <c r="H59" i="14"/>
  <c r="H60" i="14"/>
  <c r="H61" i="14"/>
  <c r="H62" i="14"/>
  <c r="H63" i="14"/>
  <c r="H58" i="14"/>
  <c r="H48" i="14"/>
  <c r="H49" i="14"/>
  <c r="H50" i="14"/>
  <c r="I50" i="14" s="1"/>
  <c r="H51" i="14"/>
  <c r="H52" i="14"/>
  <c r="H47" i="14"/>
  <c r="H36" i="14"/>
  <c r="J37" i="14"/>
  <c r="J38" i="14"/>
  <c r="J39" i="14"/>
  <c r="J40" i="14"/>
  <c r="K40" i="14" s="1"/>
  <c r="J41" i="14"/>
  <c r="H37" i="14"/>
  <c r="H38" i="14"/>
  <c r="H39" i="14"/>
  <c r="H40" i="14"/>
  <c r="H41" i="14"/>
  <c r="J26" i="14"/>
  <c r="J27" i="14"/>
  <c r="K27" i="14" s="1"/>
  <c r="J28" i="14"/>
  <c r="J29" i="14"/>
  <c r="J30" i="14"/>
  <c r="J25" i="14"/>
  <c r="H26" i="14"/>
  <c r="H27" i="14"/>
  <c r="H28" i="14"/>
  <c r="H29" i="14"/>
  <c r="H30" i="14"/>
  <c r="H25" i="14"/>
  <c r="J15" i="14"/>
  <c r="J16" i="14"/>
  <c r="J17" i="14"/>
  <c r="J18" i="14"/>
  <c r="J19" i="14"/>
  <c r="J14" i="14"/>
  <c r="H15" i="14"/>
  <c r="H16" i="14"/>
  <c r="H17" i="14"/>
  <c r="H18" i="14"/>
  <c r="H19" i="14"/>
  <c r="H14" i="14"/>
  <c r="DU2" i="1"/>
  <c r="DU1" i="1"/>
  <c r="R240" i="15"/>
  <c r="P240" i="15" s="1"/>
  <c r="Q240" i="15" a="1"/>
  <c r="Q240" i="15" s="1"/>
  <c r="J240" i="15"/>
  <c r="H240" i="15"/>
  <c r="R239" i="15"/>
  <c r="P239" i="15" s="1"/>
  <c r="Q239" i="15" a="1"/>
  <c r="Q239" i="15" s="1"/>
  <c r="J239" i="15"/>
  <c r="H239" i="15"/>
  <c r="R238" i="15"/>
  <c r="P238" i="15" s="1"/>
  <c r="Q238" i="15" a="1"/>
  <c r="Q238" i="15" s="1"/>
  <c r="J238" i="15"/>
  <c r="H238" i="15"/>
  <c r="R237" i="15"/>
  <c r="P237" i="15" s="1"/>
  <c r="Q237" i="15" a="1"/>
  <c r="Q237" i="15" s="1"/>
  <c r="J237" i="15"/>
  <c r="H237" i="15"/>
  <c r="R236" i="15"/>
  <c r="Q236" i="15" a="1"/>
  <c r="Q236" i="15" s="1"/>
  <c r="P236" i="15"/>
  <c r="J236" i="15"/>
  <c r="H236" i="15"/>
  <c r="V235" i="15"/>
  <c r="R235" i="15"/>
  <c r="P235" i="15" s="1"/>
  <c r="Q235" i="15" a="1"/>
  <c r="Q235" i="15" s="1"/>
  <c r="J235" i="15"/>
  <c r="H235" i="15"/>
  <c r="R229" i="15"/>
  <c r="P229" i="15" s="1"/>
  <c r="Q229" i="15" a="1"/>
  <c r="Q229" i="15" s="1"/>
  <c r="J229" i="15"/>
  <c r="H229" i="15"/>
  <c r="R228" i="15"/>
  <c r="P228" i="15" s="1"/>
  <c r="Q228" i="15" a="1"/>
  <c r="Q228" i="15" s="1"/>
  <c r="J228" i="15"/>
  <c r="H228" i="15"/>
  <c r="R227" i="15"/>
  <c r="P227" i="15" s="1"/>
  <c r="Q227" i="15" a="1"/>
  <c r="Q227" i="15" s="1"/>
  <c r="J227" i="15"/>
  <c r="H227" i="15"/>
  <c r="R226" i="15"/>
  <c r="P226" i="15" s="1"/>
  <c r="Q226" i="15" a="1"/>
  <c r="Q226" i="15" s="1"/>
  <c r="J226" i="15"/>
  <c r="H226" i="15"/>
  <c r="R225" i="15"/>
  <c r="P225" i="15" s="1"/>
  <c r="Q225" i="15" a="1"/>
  <c r="Q225" i="15" s="1"/>
  <c r="J225" i="15"/>
  <c r="H225" i="15"/>
  <c r="V224" i="15"/>
  <c r="R224" i="15"/>
  <c r="P224" i="15" s="1"/>
  <c r="Q224" i="15" a="1"/>
  <c r="Q224" i="15" s="1"/>
  <c r="J224" i="15"/>
  <c r="H224" i="15"/>
  <c r="R218" i="15"/>
  <c r="P218" i="15" s="1"/>
  <c r="Q218" i="15" a="1"/>
  <c r="Q218" i="15" s="1"/>
  <c r="J218" i="15"/>
  <c r="H218" i="15"/>
  <c r="R217" i="15"/>
  <c r="P217" i="15" s="1"/>
  <c r="Q217" i="15" a="1"/>
  <c r="Q217" i="15" s="1"/>
  <c r="J217" i="15"/>
  <c r="H217" i="15"/>
  <c r="R216" i="15"/>
  <c r="Q216" i="15" a="1"/>
  <c r="Q216" i="15" s="1"/>
  <c r="P216" i="15"/>
  <c r="J216" i="15"/>
  <c r="H216" i="15"/>
  <c r="R215" i="15"/>
  <c r="P215" i="15" s="1"/>
  <c r="Q215" i="15" a="1"/>
  <c r="Q215" i="15" s="1"/>
  <c r="J215" i="15"/>
  <c r="H215" i="15"/>
  <c r="R214" i="15"/>
  <c r="P214" i="15" s="1"/>
  <c r="Q214" i="15" a="1"/>
  <c r="Q214" i="15" s="1"/>
  <c r="J214" i="15"/>
  <c r="H214" i="15"/>
  <c r="V213" i="15"/>
  <c r="R213" i="15"/>
  <c r="Q213" i="15" a="1"/>
  <c r="Q213" i="15" s="1"/>
  <c r="P213" i="15"/>
  <c r="J213" i="15"/>
  <c r="K213" i="15" s="1"/>
  <c r="H213" i="15"/>
  <c r="R207" i="15"/>
  <c r="P207" i="15" s="1"/>
  <c r="Q207" i="15" a="1"/>
  <c r="Q207" i="15" s="1"/>
  <c r="J207" i="15"/>
  <c r="H207" i="15"/>
  <c r="R206" i="15"/>
  <c r="P206" i="15" s="1"/>
  <c r="Q206" i="15" a="1"/>
  <c r="Q206" i="15" s="1"/>
  <c r="J206" i="15"/>
  <c r="K206" i="15" s="1"/>
  <c r="H206" i="15"/>
  <c r="R205" i="15"/>
  <c r="P205" i="15" s="1"/>
  <c r="Q205" i="15" a="1"/>
  <c r="Q205" i="15" s="1"/>
  <c r="J205" i="15"/>
  <c r="H205" i="15"/>
  <c r="R204" i="15"/>
  <c r="P204" i="15" s="1"/>
  <c r="Q204" i="15" a="1"/>
  <c r="Q204" i="15" s="1"/>
  <c r="J204" i="15"/>
  <c r="H204" i="15"/>
  <c r="R203" i="15"/>
  <c r="P203" i="15" s="1"/>
  <c r="Q203" i="15" a="1"/>
  <c r="Q203" i="15" s="1"/>
  <c r="J203" i="15"/>
  <c r="H203" i="15"/>
  <c r="V202" i="15"/>
  <c r="R202" i="15"/>
  <c r="P202" i="15" s="1"/>
  <c r="Q202" i="15" a="1"/>
  <c r="Q202" i="15" s="1"/>
  <c r="J202" i="15"/>
  <c r="H202" i="15"/>
  <c r="R196" i="15"/>
  <c r="P196" i="15" s="1"/>
  <c r="Q196" i="15" a="1"/>
  <c r="Q196" i="15" s="1"/>
  <c r="J196" i="15"/>
  <c r="H196" i="15"/>
  <c r="R195" i="15"/>
  <c r="P195" i="15" s="1"/>
  <c r="Q195" i="15" a="1"/>
  <c r="Q195" i="15" s="1"/>
  <c r="J195" i="15"/>
  <c r="K195" i="15" s="1"/>
  <c r="H195" i="15"/>
  <c r="I195" i="15" s="1"/>
  <c r="R194" i="15"/>
  <c r="P194" i="15" s="1"/>
  <c r="Q194" i="15" a="1"/>
  <c r="Q194" i="15" s="1"/>
  <c r="J194" i="15"/>
  <c r="H194" i="15"/>
  <c r="R193" i="15"/>
  <c r="P193" i="15" s="1"/>
  <c r="Q193" i="15" a="1"/>
  <c r="Q193" i="15" s="1"/>
  <c r="J193" i="15"/>
  <c r="H193" i="15"/>
  <c r="I193" i="15" s="1"/>
  <c r="R192" i="15"/>
  <c r="P192" i="15" s="1"/>
  <c r="Q192" i="15" a="1"/>
  <c r="Q192" i="15" s="1"/>
  <c r="J192" i="15"/>
  <c r="H192" i="15"/>
  <c r="V191" i="15"/>
  <c r="R191" i="15"/>
  <c r="P191" i="15" s="1"/>
  <c r="Q191" i="15" a="1"/>
  <c r="Q191" i="15" s="1"/>
  <c r="J191" i="15"/>
  <c r="H191" i="15"/>
  <c r="R185" i="15"/>
  <c r="P185" i="15" s="1"/>
  <c r="Q185" i="15" a="1"/>
  <c r="Q185" i="15" s="1"/>
  <c r="J185" i="15"/>
  <c r="H185" i="15"/>
  <c r="R184" i="15"/>
  <c r="P184" i="15" s="1"/>
  <c r="Q184" i="15" a="1"/>
  <c r="Q184" i="15" s="1"/>
  <c r="J184" i="15"/>
  <c r="H184" i="15"/>
  <c r="R183" i="15"/>
  <c r="P183" i="15" s="1"/>
  <c r="Q183" i="15" a="1"/>
  <c r="Q183" i="15" s="1"/>
  <c r="J183" i="15"/>
  <c r="H183" i="15"/>
  <c r="R182" i="15"/>
  <c r="P182" i="15" s="1"/>
  <c r="Q182" i="15" a="1"/>
  <c r="Q182" i="15" s="1"/>
  <c r="J182" i="15"/>
  <c r="H182" i="15"/>
  <c r="R181" i="15"/>
  <c r="Q181" i="15" a="1"/>
  <c r="Q181" i="15" s="1"/>
  <c r="P181" i="15"/>
  <c r="J181" i="15"/>
  <c r="K181" i="15" s="1"/>
  <c r="H181" i="15"/>
  <c r="V180" i="15"/>
  <c r="R180" i="15"/>
  <c r="P180" i="15" s="1"/>
  <c r="Q180" i="15" a="1"/>
  <c r="Q180" i="15" s="1"/>
  <c r="J180" i="15"/>
  <c r="H180" i="15"/>
  <c r="R174" i="15"/>
  <c r="P174" i="15" s="1"/>
  <c r="Q174" i="15" a="1"/>
  <c r="Q174" i="15" s="1"/>
  <c r="J174" i="15"/>
  <c r="H174" i="15"/>
  <c r="R173" i="15"/>
  <c r="P173" i="15" s="1"/>
  <c r="Q173" i="15" a="1"/>
  <c r="Q173" i="15" s="1"/>
  <c r="J173" i="15"/>
  <c r="H173" i="15"/>
  <c r="R172" i="15"/>
  <c r="P172" i="15" s="1"/>
  <c r="Q172" i="15" a="1"/>
  <c r="Q172" i="15" s="1"/>
  <c r="J172" i="15"/>
  <c r="H172" i="15"/>
  <c r="R171" i="15"/>
  <c r="Q171" i="15" a="1"/>
  <c r="Q171" i="15" s="1"/>
  <c r="P171" i="15"/>
  <c r="J171" i="15"/>
  <c r="H171" i="15"/>
  <c r="R170" i="15"/>
  <c r="P170" i="15" s="1"/>
  <c r="Q170" i="15" a="1"/>
  <c r="Q170" i="15" s="1"/>
  <c r="J170" i="15"/>
  <c r="H170" i="15"/>
  <c r="V169" i="15"/>
  <c r="R169" i="15"/>
  <c r="P169" i="15" s="1"/>
  <c r="Q169" i="15" a="1"/>
  <c r="Q169" i="15" s="1"/>
  <c r="J169" i="15"/>
  <c r="H169" i="15"/>
  <c r="R163" i="15"/>
  <c r="P163" i="15" s="1"/>
  <c r="Q163" i="15" a="1"/>
  <c r="Q163" i="15" s="1"/>
  <c r="J163" i="15"/>
  <c r="H163" i="15"/>
  <c r="R162" i="15"/>
  <c r="P162" i="15" s="1"/>
  <c r="Q162" i="15" a="1"/>
  <c r="Q162" i="15" s="1"/>
  <c r="J162" i="15"/>
  <c r="H162" i="15"/>
  <c r="R161" i="15"/>
  <c r="P161" i="15" s="1"/>
  <c r="Q161" i="15"/>
  <c r="Q161" i="15" a="1"/>
  <c r="J161" i="15"/>
  <c r="H161" i="15"/>
  <c r="R160" i="15"/>
  <c r="P160" i="15" s="1"/>
  <c r="Q160" i="15" a="1"/>
  <c r="Q160" i="15" s="1"/>
  <c r="J160" i="15"/>
  <c r="H160" i="15"/>
  <c r="I160" i="15" s="1"/>
  <c r="R159" i="15"/>
  <c r="P159" i="15" s="1"/>
  <c r="Q159" i="15"/>
  <c r="Q159" i="15" a="1"/>
  <c r="J159" i="15"/>
  <c r="H159" i="15"/>
  <c r="V158" i="15"/>
  <c r="R158" i="15"/>
  <c r="P158" i="15" s="1"/>
  <c r="Q158" i="15" a="1"/>
  <c r="Q158" i="15" s="1"/>
  <c r="J158" i="15"/>
  <c r="H158" i="15"/>
  <c r="R152" i="15"/>
  <c r="P152" i="15" s="1"/>
  <c r="Q152" i="15" a="1"/>
  <c r="Q152" i="15" s="1"/>
  <c r="J152" i="15"/>
  <c r="H152" i="15"/>
  <c r="R151" i="15"/>
  <c r="P151" i="15" s="1"/>
  <c r="Q151" i="15" a="1"/>
  <c r="Q151" i="15" s="1"/>
  <c r="J151" i="15"/>
  <c r="H151" i="15"/>
  <c r="R150" i="15"/>
  <c r="P150" i="15" s="1"/>
  <c r="Q150" i="15" a="1"/>
  <c r="Q150" i="15" s="1"/>
  <c r="J150" i="15"/>
  <c r="H150" i="15"/>
  <c r="R149" i="15"/>
  <c r="P149" i="15" s="1"/>
  <c r="Q149" i="15" a="1"/>
  <c r="Q149" i="15" s="1"/>
  <c r="J149" i="15"/>
  <c r="H149" i="15"/>
  <c r="R148" i="15"/>
  <c r="P148" i="15" s="1"/>
  <c r="Q148" i="15" a="1"/>
  <c r="Q148" i="15" s="1"/>
  <c r="J148" i="15"/>
  <c r="H148" i="15"/>
  <c r="V147" i="15"/>
  <c r="R147" i="15"/>
  <c r="P147" i="15" s="1"/>
  <c r="Q147" i="15"/>
  <c r="Q147" i="15" a="1"/>
  <c r="J147" i="15"/>
  <c r="H147" i="15"/>
  <c r="R141" i="15"/>
  <c r="P141" i="15" s="1"/>
  <c r="Q141" i="15" a="1"/>
  <c r="Q141" i="15" s="1"/>
  <c r="J141" i="15"/>
  <c r="H141" i="15"/>
  <c r="R140" i="15"/>
  <c r="P140" i="15" s="1"/>
  <c r="Q140" i="15"/>
  <c r="Q140" i="15" a="1"/>
  <c r="J140" i="15"/>
  <c r="H140" i="15"/>
  <c r="R139" i="15"/>
  <c r="P139" i="15" s="1"/>
  <c r="Q139" i="15" a="1"/>
  <c r="Q139" i="15" s="1"/>
  <c r="J139" i="15"/>
  <c r="H139" i="15"/>
  <c r="R138" i="15"/>
  <c r="Q138" i="15" a="1"/>
  <c r="Q138" i="15" s="1"/>
  <c r="P138" i="15"/>
  <c r="J138" i="15"/>
  <c r="K138" i="15" s="1"/>
  <c r="H138" i="15"/>
  <c r="I138" i="15" s="1"/>
  <c r="R137" i="15"/>
  <c r="Q137" i="15" a="1"/>
  <c r="Q137" i="15" s="1"/>
  <c r="P137" i="15"/>
  <c r="J137" i="15"/>
  <c r="H137" i="15"/>
  <c r="V136" i="15"/>
  <c r="R136" i="15"/>
  <c r="P136" i="15" s="1"/>
  <c r="Q136" i="15" a="1"/>
  <c r="Q136" i="15" s="1"/>
  <c r="J136" i="15"/>
  <c r="H136" i="15"/>
  <c r="R118" i="15"/>
  <c r="P118" i="15" s="1"/>
  <c r="Q118" i="15" a="1"/>
  <c r="Q118" i="15" s="1"/>
  <c r="J118" i="15"/>
  <c r="H118" i="15"/>
  <c r="R117" i="15"/>
  <c r="Q117" i="15" a="1"/>
  <c r="Q117" i="15" s="1"/>
  <c r="P117" i="15"/>
  <c r="J117" i="15"/>
  <c r="H117" i="15"/>
  <c r="R116" i="15"/>
  <c r="P116" i="15" s="1"/>
  <c r="Q116" i="15" a="1"/>
  <c r="Q116" i="15" s="1"/>
  <c r="J116" i="15"/>
  <c r="H116" i="15"/>
  <c r="R115" i="15"/>
  <c r="Q115" i="15" a="1"/>
  <c r="Q115" i="15" s="1"/>
  <c r="P115" i="15"/>
  <c r="J115" i="15"/>
  <c r="H115" i="15"/>
  <c r="R114" i="15"/>
  <c r="P114" i="15" s="1"/>
  <c r="Q114" i="15" a="1"/>
  <c r="Q114" i="15" s="1"/>
  <c r="J114" i="15"/>
  <c r="H114" i="15"/>
  <c r="V113" i="15"/>
  <c r="R113" i="15"/>
  <c r="P113" i="15" s="1"/>
  <c r="Q113" i="15" a="1"/>
  <c r="Q113" i="15" s="1"/>
  <c r="J113" i="15"/>
  <c r="H113" i="15"/>
  <c r="R107" i="15"/>
  <c r="Q107" i="15" a="1"/>
  <c r="Q107" i="15" s="1"/>
  <c r="P107" i="15"/>
  <c r="J107" i="15"/>
  <c r="H107" i="15"/>
  <c r="R106" i="15"/>
  <c r="P106" i="15" s="1"/>
  <c r="Q106" i="15" a="1"/>
  <c r="Q106" i="15" s="1"/>
  <c r="J106" i="15"/>
  <c r="H106" i="15"/>
  <c r="I106" i="15" s="1"/>
  <c r="R105" i="15"/>
  <c r="P105" i="15" s="1"/>
  <c r="Q105" i="15" a="1"/>
  <c r="Q105" i="15" s="1"/>
  <c r="J105" i="15"/>
  <c r="H105" i="15"/>
  <c r="R104" i="15"/>
  <c r="P104" i="15" s="1"/>
  <c r="Q104" i="15" a="1"/>
  <c r="Q104" i="15" s="1"/>
  <c r="J104" i="15"/>
  <c r="H104" i="15"/>
  <c r="I104" i="15" s="1"/>
  <c r="R103" i="15"/>
  <c r="P103" i="15" s="1"/>
  <c r="Q103" i="15" a="1"/>
  <c r="Q103" i="15" s="1"/>
  <c r="J103" i="15"/>
  <c r="H103" i="15"/>
  <c r="V102" i="15"/>
  <c r="R102" i="15"/>
  <c r="P102" i="15" s="1"/>
  <c r="Q102" i="15" a="1"/>
  <c r="Q102" i="15" s="1"/>
  <c r="J102" i="15"/>
  <c r="H102" i="15"/>
  <c r="R96" i="15"/>
  <c r="P96" i="15" s="1"/>
  <c r="Q96" i="15" a="1"/>
  <c r="Q96" i="15" s="1"/>
  <c r="J96" i="15"/>
  <c r="K96" i="15" s="1"/>
  <c r="H96" i="15"/>
  <c r="I96" i="15" s="1"/>
  <c r="R95" i="15"/>
  <c r="P95" i="15" s="1"/>
  <c r="Q95" i="15" a="1"/>
  <c r="Q95" i="15" s="1"/>
  <c r="J95" i="15"/>
  <c r="H95" i="15"/>
  <c r="R94" i="15"/>
  <c r="P94" i="15" s="1"/>
  <c r="Q94" i="15" a="1"/>
  <c r="Q94" i="15" s="1"/>
  <c r="J94" i="15"/>
  <c r="K94" i="15" s="1"/>
  <c r="H94" i="15"/>
  <c r="R93" i="15"/>
  <c r="P93" i="15" s="1"/>
  <c r="Q93" i="15" a="1"/>
  <c r="Q93" i="15" s="1"/>
  <c r="J93" i="15"/>
  <c r="H93" i="15"/>
  <c r="R92" i="15"/>
  <c r="P92" i="15" s="1"/>
  <c r="Q92" i="15" a="1"/>
  <c r="Q92" i="15" s="1"/>
  <c r="J92" i="15"/>
  <c r="H92" i="15"/>
  <c r="V91" i="15"/>
  <c r="R91" i="15"/>
  <c r="Q91" i="15" a="1"/>
  <c r="Q91" i="15" s="1"/>
  <c r="P91" i="15"/>
  <c r="J91" i="15"/>
  <c r="K91" i="15" s="1"/>
  <c r="H91" i="15"/>
  <c r="R85" i="15"/>
  <c r="P85" i="15" s="1"/>
  <c r="Q85" i="15" a="1"/>
  <c r="Q85" i="15" s="1"/>
  <c r="J85" i="15"/>
  <c r="H85" i="15"/>
  <c r="R84" i="15"/>
  <c r="P84" i="15" s="1"/>
  <c r="Q84" i="15" a="1"/>
  <c r="Q84" i="15" s="1"/>
  <c r="J84" i="15"/>
  <c r="H84" i="15"/>
  <c r="R83" i="15"/>
  <c r="P83" i="15" s="1"/>
  <c r="Q83" i="15" a="1"/>
  <c r="Q83" i="15" s="1"/>
  <c r="J83" i="15"/>
  <c r="H83" i="15"/>
  <c r="R82" i="15"/>
  <c r="P82" i="15" s="1"/>
  <c r="Q82" i="15"/>
  <c r="Q82" i="15" a="1"/>
  <c r="J82" i="15"/>
  <c r="H82" i="15"/>
  <c r="R81" i="15"/>
  <c r="Q81" i="15" a="1"/>
  <c r="Q81" i="15" s="1"/>
  <c r="P81" i="15"/>
  <c r="J81" i="15"/>
  <c r="H81" i="15"/>
  <c r="V80" i="15"/>
  <c r="R80" i="15"/>
  <c r="P80" i="15" s="1"/>
  <c r="Q80" i="15" a="1"/>
  <c r="Q80" i="15" s="1"/>
  <c r="J80" i="15"/>
  <c r="H80" i="15"/>
  <c r="R74" i="15"/>
  <c r="P74" i="15" s="1"/>
  <c r="Q74" i="15"/>
  <c r="Q74" i="15" a="1"/>
  <c r="J74" i="15"/>
  <c r="H74" i="15"/>
  <c r="R73" i="15"/>
  <c r="Q73" i="15" a="1"/>
  <c r="Q73" i="15" s="1"/>
  <c r="P73" i="15"/>
  <c r="J73" i="15"/>
  <c r="H73" i="15"/>
  <c r="R72" i="15"/>
  <c r="P72" i="15" s="1"/>
  <c r="Q72" i="15" a="1"/>
  <c r="Q72" i="15" s="1"/>
  <c r="J72" i="15"/>
  <c r="H72" i="15"/>
  <c r="R71" i="15"/>
  <c r="P71" i="15" s="1"/>
  <c r="Q71" i="15" a="1"/>
  <c r="Q71" i="15" s="1"/>
  <c r="J71" i="15"/>
  <c r="H71" i="15"/>
  <c r="R70" i="15"/>
  <c r="P70" i="15" s="1"/>
  <c r="Q70" i="15" a="1"/>
  <c r="Q70" i="15" s="1"/>
  <c r="J70" i="15"/>
  <c r="H70" i="15"/>
  <c r="V69" i="15"/>
  <c r="R69" i="15"/>
  <c r="P69" i="15" s="1"/>
  <c r="Q69" i="15" a="1"/>
  <c r="Q69" i="15" s="1"/>
  <c r="J69" i="15"/>
  <c r="H69" i="15"/>
  <c r="R63" i="15"/>
  <c r="P63" i="15" s="1"/>
  <c r="Q63" i="15" a="1"/>
  <c r="Q63" i="15" s="1"/>
  <c r="J63" i="15"/>
  <c r="H63" i="15"/>
  <c r="R62" i="15"/>
  <c r="P62" i="15" s="1"/>
  <c r="Q62" i="15" a="1"/>
  <c r="Q62" i="15" s="1"/>
  <c r="J62" i="15"/>
  <c r="H62" i="15"/>
  <c r="R61" i="15"/>
  <c r="P61" i="15" s="1"/>
  <c r="Q61" i="15"/>
  <c r="Q61" i="15" a="1"/>
  <c r="J61" i="15"/>
  <c r="H61" i="15"/>
  <c r="R60" i="15"/>
  <c r="Q60" i="15" a="1"/>
  <c r="Q60" i="15" s="1"/>
  <c r="P60" i="15"/>
  <c r="J60" i="15"/>
  <c r="K60" i="15" s="1"/>
  <c r="H60" i="15"/>
  <c r="I60" i="15" s="1"/>
  <c r="R59" i="15"/>
  <c r="P59" i="15" s="1"/>
  <c r="Q59" i="15" a="1"/>
  <c r="Q59" i="15" s="1"/>
  <c r="J59" i="15"/>
  <c r="H59" i="15"/>
  <c r="V58" i="15"/>
  <c r="R58" i="15"/>
  <c r="P58" i="15" s="1"/>
  <c r="Q58" i="15" a="1"/>
  <c r="Q58" i="15" s="1"/>
  <c r="J58" i="15"/>
  <c r="H58" i="15"/>
  <c r="R52" i="15"/>
  <c r="P52" i="15" s="1"/>
  <c r="Q52" i="15" a="1"/>
  <c r="Q52" i="15" s="1"/>
  <c r="J52" i="15"/>
  <c r="H52" i="15"/>
  <c r="R51" i="15"/>
  <c r="P51" i="15" s="1"/>
  <c r="Q51" i="15" a="1"/>
  <c r="Q51" i="15" s="1"/>
  <c r="J51" i="15"/>
  <c r="H51" i="15"/>
  <c r="R50" i="15"/>
  <c r="P50" i="15" s="1"/>
  <c r="Q50" i="15"/>
  <c r="Q50" i="15" a="1"/>
  <c r="J50" i="15"/>
  <c r="H50" i="15"/>
  <c r="R49" i="15"/>
  <c r="P49" i="15" s="1"/>
  <c r="Q49" i="15" a="1"/>
  <c r="Q49" i="15" s="1"/>
  <c r="J49" i="15"/>
  <c r="H49" i="15"/>
  <c r="R48" i="15"/>
  <c r="P48" i="15" s="1"/>
  <c r="Q48" i="15" a="1"/>
  <c r="Q48" i="15" s="1"/>
  <c r="J48" i="15"/>
  <c r="H48" i="15"/>
  <c r="V47" i="15"/>
  <c r="R47" i="15"/>
  <c r="P47" i="15" s="1"/>
  <c r="Q47" i="15" a="1"/>
  <c r="Q47" i="15" s="1"/>
  <c r="J47" i="15"/>
  <c r="H47" i="15"/>
  <c r="R41" i="15"/>
  <c r="Q41" i="15" a="1"/>
  <c r="Q41" i="15" s="1"/>
  <c r="P41" i="15"/>
  <c r="J41" i="15"/>
  <c r="H41" i="15"/>
  <c r="R40" i="15"/>
  <c r="Q40" i="15" a="1"/>
  <c r="Q40" i="15" s="1"/>
  <c r="P40" i="15"/>
  <c r="J40" i="15"/>
  <c r="H40" i="15"/>
  <c r="I40" i="15" s="1"/>
  <c r="R39" i="15"/>
  <c r="P39" i="15" s="1"/>
  <c r="Q39" i="15" a="1"/>
  <c r="Q39" i="15" s="1"/>
  <c r="J39" i="15"/>
  <c r="H39" i="15"/>
  <c r="R38" i="15"/>
  <c r="Q38" i="15" a="1"/>
  <c r="Q38" i="15" s="1"/>
  <c r="P38" i="15"/>
  <c r="J38" i="15"/>
  <c r="H38" i="15"/>
  <c r="R37" i="15"/>
  <c r="P37" i="15" s="1"/>
  <c r="Q37" i="15" a="1"/>
  <c r="Q37" i="15" s="1"/>
  <c r="J37" i="15"/>
  <c r="H37" i="15"/>
  <c r="V36" i="15"/>
  <c r="R36" i="15"/>
  <c r="P36" i="15" s="1"/>
  <c r="Q36" i="15" a="1"/>
  <c r="Q36" i="15" s="1"/>
  <c r="J36" i="15"/>
  <c r="H36" i="15"/>
  <c r="R30" i="15"/>
  <c r="P30" i="15" s="1"/>
  <c r="Q30" i="15" a="1"/>
  <c r="Q30" i="15" s="1"/>
  <c r="J30" i="15"/>
  <c r="H30" i="15"/>
  <c r="R29" i="15"/>
  <c r="P29" i="15" s="1"/>
  <c r="Q29" i="15" a="1"/>
  <c r="Q29" i="15" s="1"/>
  <c r="J29" i="15"/>
  <c r="H29" i="15"/>
  <c r="R28" i="15"/>
  <c r="P28" i="15" s="1"/>
  <c r="Q28" i="15" a="1"/>
  <c r="Q28" i="15" s="1"/>
  <c r="J28" i="15"/>
  <c r="H28" i="15"/>
  <c r="R27" i="15"/>
  <c r="P27" i="15" s="1"/>
  <c r="Q27" i="15" a="1"/>
  <c r="Q27" i="15" s="1"/>
  <c r="J27" i="15"/>
  <c r="H27" i="15"/>
  <c r="R26" i="15"/>
  <c r="P26" i="15" s="1"/>
  <c r="Q26" i="15" a="1"/>
  <c r="Q26" i="15" s="1"/>
  <c r="J26" i="15"/>
  <c r="H26" i="15"/>
  <c r="V25" i="15"/>
  <c r="R25" i="15"/>
  <c r="P25" i="15" s="1"/>
  <c r="Q25" i="15" a="1"/>
  <c r="Q25" i="15" s="1"/>
  <c r="J25" i="15"/>
  <c r="H25" i="15"/>
  <c r="R19" i="15"/>
  <c r="Q19" i="15" a="1"/>
  <c r="Q19" i="15" s="1"/>
  <c r="P19" i="15"/>
  <c r="J19" i="15"/>
  <c r="H19" i="15"/>
  <c r="R18" i="15"/>
  <c r="Q18" i="15" a="1"/>
  <c r="Q18" i="15" s="1"/>
  <c r="P18" i="15"/>
  <c r="J18" i="15"/>
  <c r="H18" i="15"/>
  <c r="R17" i="15"/>
  <c r="P17" i="15" s="1"/>
  <c r="Q17" i="15" a="1"/>
  <c r="Q17" i="15" s="1"/>
  <c r="J17" i="15"/>
  <c r="H17" i="15"/>
  <c r="R16" i="15"/>
  <c r="P16" i="15" s="1"/>
  <c r="Q16" i="15" a="1"/>
  <c r="Q16" i="15" s="1"/>
  <c r="J16" i="15"/>
  <c r="H16" i="15"/>
  <c r="R15" i="15"/>
  <c r="P15" i="15" s="1"/>
  <c r="Q15" i="15" a="1"/>
  <c r="Q15" i="15" s="1"/>
  <c r="J15" i="15"/>
  <c r="H15" i="15"/>
  <c r="V14" i="15"/>
  <c r="R14" i="15"/>
  <c r="P14" i="15" s="1"/>
  <c r="Q14" i="15" a="1"/>
  <c r="Q14" i="15" s="1"/>
  <c r="J14" i="15"/>
  <c r="H14" i="15"/>
  <c r="R118" i="14"/>
  <c r="P118" i="14" s="1"/>
  <c r="Q118" i="14" a="1"/>
  <c r="Q118" i="14" s="1"/>
  <c r="R117" i="14"/>
  <c r="P117" i="14" s="1"/>
  <c r="Q117" i="14" a="1"/>
  <c r="Q117" i="14" s="1"/>
  <c r="R116" i="14"/>
  <c r="P116" i="14" s="1"/>
  <c r="Q116" i="14" a="1"/>
  <c r="Q116" i="14" s="1"/>
  <c r="R115" i="14"/>
  <c r="P115" i="14" s="1"/>
  <c r="K115" i="14" s="1"/>
  <c r="Q115" i="14" a="1"/>
  <c r="Q115" i="14" s="1"/>
  <c r="R114" i="14"/>
  <c r="P114" i="14" s="1"/>
  <c r="I114" i="14" s="1"/>
  <c r="Q114" i="14" a="1"/>
  <c r="Q114" i="14" s="1"/>
  <c r="V113" i="14"/>
  <c r="R113" i="14"/>
  <c r="P113" i="14" s="1"/>
  <c r="K113" i="14" s="1"/>
  <c r="Q113" i="14" a="1"/>
  <c r="Q113" i="14" s="1"/>
  <c r="R107" i="14"/>
  <c r="P107" i="14" s="1"/>
  <c r="Q107" i="14" a="1"/>
  <c r="Q107" i="14" s="1"/>
  <c r="R106" i="14"/>
  <c r="P106" i="14" s="1"/>
  <c r="Q106" i="14" a="1"/>
  <c r="Q106" i="14" s="1"/>
  <c r="R105" i="14"/>
  <c r="P105" i="14" s="1"/>
  <c r="Q105" i="14" a="1"/>
  <c r="Q105" i="14" s="1"/>
  <c r="R104" i="14"/>
  <c r="P104" i="14" s="1"/>
  <c r="K104" i="14" s="1"/>
  <c r="Q104" i="14" a="1"/>
  <c r="Q104" i="14" s="1"/>
  <c r="R103" i="14"/>
  <c r="P103" i="14" s="1"/>
  <c r="Q103" i="14" a="1"/>
  <c r="Q103" i="14" s="1"/>
  <c r="V102" i="14"/>
  <c r="R102" i="14"/>
  <c r="P102" i="14" s="1"/>
  <c r="Q102" i="14" a="1"/>
  <c r="Q102" i="14" s="1"/>
  <c r="R96" i="14"/>
  <c r="P96" i="14" s="1"/>
  <c r="I96" i="14" s="1"/>
  <c r="Q96" i="14" a="1"/>
  <c r="Q96" i="14" s="1"/>
  <c r="R95" i="14"/>
  <c r="P95" i="14" s="1"/>
  <c r="I95" i="14" s="1"/>
  <c r="Q95" i="14" a="1"/>
  <c r="Q95" i="14" s="1"/>
  <c r="R94" i="14"/>
  <c r="P94" i="14" s="1"/>
  <c r="Q94" i="14"/>
  <c r="Q94" i="14" a="1"/>
  <c r="R93" i="14"/>
  <c r="P93" i="14" s="1"/>
  <c r="K93" i="14" s="1"/>
  <c r="Q93" i="14" a="1"/>
  <c r="Q93" i="14" s="1"/>
  <c r="R92" i="14"/>
  <c r="P92" i="14" s="1"/>
  <c r="Q92" i="14" a="1"/>
  <c r="Q92" i="14" s="1"/>
  <c r="V91" i="14"/>
  <c r="R91" i="14"/>
  <c r="P91" i="14" s="1"/>
  <c r="Q91" i="14" a="1"/>
  <c r="Q91" i="14" s="1"/>
  <c r="R85" i="14"/>
  <c r="P85" i="14" s="1"/>
  <c r="K85" i="14" s="1"/>
  <c r="Q85" i="14" a="1"/>
  <c r="Q85" i="14" s="1"/>
  <c r="R84" i="14"/>
  <c r="P84" i="14" s="1"/>
  <c r="I84" i="14" s="1"/>
  <c r="Q84" i="14" a="1"/>
  <c r="Q84" i="14" s="1"/>
  <c r="R83" i="14"/>
  <c r="Q83" i="14" a="1"/>
  <c r="Q83" i="14" s="1"/>
  <c r="P83" i="14"/>
  <c r="R82" i="14"/>
  <c r="P82" i="14" s="1"/>
  <c r="Q82" i="14" a="1"/>
  <c r="Q82" i="14" s="1"/>
  <c r="R81" i="14"/>
  <c r="P81" i="14" s="1"/>
  <c r="Q81" i="14" a="1"/>
  <c r="Q81" i="14" s="1"/>
  <c r="V80" i="14"/>
  <c r="R80" i="14"/>
  <c r="P80" i="14" s="1"/>
  <c r="Q80" i="14" a="1"/>
  <c r="Q80" i="14" s="1"/>
  <c r="R74" i="14"/>
  <c r="P74" i="14" s="1"/>
  <c r="Q74" i="14" a="1"/>
  <c r="Q74" i="14" s="1"/>
  <c r="R73" i="14"/>
  <c r="P73" i="14" s="1"/>
  <c r="Q73" i="14" a="1"/>
  <c r="Q73" i="14" s="1"/>
  <c r="R72" i="14"/>
  <c r="P72" i="14" s="1"/>
  <c r="Q72" i="14" a="1"/>
  <c r="Q72" i="14" s="1"/>
  <c r="R71" i="14"/>
  <c r="P71" i="14" s="1"/>
  <c r="Q71" i="14" a="1"/>
  <c r="Q71" i="14" s="1"/>
  <c r="R70" i="14"/>
  <c r="P70" i="14" s="1"/>
  <c r="Q70" i="14" a="1"/>
  <c r="Q70" i="14" s="1"/>
  <c r="V69" i="14"/>
  <c r="R69" i="14"/>
  <c r="P69" i="14" s="1"/>
  <c r="Q69" i="14" a="1"/>
  <c r="Q69" i="14" s="1"/>
  <c r="R63" i="14"/>
  <c r="P63" i="14" s="1"/>
  <c r="I63" i="14" s="1"/>
  <c r="Q63" i="14" a="1"/>
  <c r="Q63" i="14" s="1"/>
  <c r="R62" i="14"/>
  <c r="P62" i="14" s="1"/>
  <c r="I62" i="14" s="1"/>
  <c r="Q62" i="14"/>
  <c r="Q62" i="14" a="1"/>
  <c r="R61" i="14"/>
  <c r="P61" i="14" s="1"/>
  <c r="I61" i="14" s="1"/>
  <c r="Q61" i="14" a="1"/>
  <c r="Q61" i="14" s="1"/>
  <c r="R60" i="14"/>
  <c r="P60" i="14" s="1"/>
  <c r="I60" i="14" s="1"/>
  <c r="Q60" i="14" a="1"/>
  <c r="Q60" i="14" s="1"/>
  <c r="R59" i="14"/>
  <c r="P59" i="14" s="1"/>
  <c r="Q59" i="14" a="1"/>
  <c r="Q59" i="14" s="1"/>
  <c r="V58" i="14"/>
  <c r="R58" i="14"/>
  <c r="P58" i="14" s="1"/>
  <c r="Q58" i="14" a="1"/>
  <c r="Q58" i="14" s="1"/>
  <c r="R52" i="14"/>
  <c r="P52" i="14" s="1"/>
  <c r="Q52" i="14" a="1"/>
  <c r="Q52" i="14" s="1"/>
  <c r="R51" i="14"/>
  <c r="P51" i="14" s="1"/>
  <c r="Q51" i="14" a="1"/>
  <c r="Q51" i="14" s="1"/>
  <c r="R50" i="14"/>
  <c r="P50" i="14" s="1"/>
  <c r="Q50" i="14" a="1"/>
  <c r="Q50" i="14" s="1"/>
  <c r="R49" i="14"/>
  <c r="P49" i="14" s="1"/>
  <c r="I49" i="14" s="1"/>
  <c r="Q49" i="14" a="1"/>
  <c r="Q49" i="14" s="1"/>
  <c r="R48" i="14"/>
  <c r="P48" i="14" s="1"/>
  <c r="K48" i="14" s="1"/>
  <c r="Q48" i="14" a="1"/>
  <c r="Q48" i="14" s="1"/>
  <c r="V47" i="14"/>
  <c r="R47" i="14"/>
  <c r="P47" i="14" s="1"/>
  <c r="Q47" i="14" a="1"/>
  <c r="Q47" i="14" s="1"/>
  <c r="R41" i="14"/>
  <c r="P41" i="14" s="1"/>
  <c r="Q41" i="14" a="1"/>
  <c r="Q41" i="14" s="1"/>
  <c r="R40" i="14"/>
  <c r="P40" i="14" s="1"/>
  <c r="Q40" i="14" a="1"/>
  <c r="Q40" i="14" s="1"/>
  <c r="R39" i="14"/>
  <c r="P39" i="14" s="1"/>
  <c r="Q39" i="14" a="1"/>
  <c r="Q39" i="14" s="1"/>
  <c r="R38" i="14"/>
  <c r="P38" i="14" s="1"/>
  <c r="Q38" i="14" a="1"/>
  <c r="Q38" i="14" s="1"/>
  <c r="R37" i="14"/>
  <c r="P37" i="14" s="1"/>
  <c r="Q37" i="14" a="1"/>
  <c r="Q37" i="14" s="1"/>
  <c r="V36" i="14"/>
  <c r="R36" i="14"/>
  <c r="P36" i="14" s="1"/>
  <c r="Q36" i="14" a="1"/>
  <c r="Q36" i="14" s="1"/>
  <c r="R30" i="14"/>
  <c r="P30" i="14" s="1"/>
  <c r="I30" i="14" s="1"/>
  <c r="Q30" i="14" a="1"/>
  <c r="Q30" i="14" s="1"/>
  <c r="R29" i="14"/>
  <c r="P29" i="14" s="1"/>
  <c r="Q29" i="14" a="1"/>
  <c r="Q29" i="14" s="1"/>
  <c r="R28" i="14"/>
  <c r="Q28" i="14" a="1"/>
  <c r="Q28" i="14" s="1"/>
  <c r="P28" i="14"/>
  <c r="K28" i="14" s="1"/>
  <c r="R27" i="14"/>
  <c r="P27" i="14" s="1"/>
  <c r="Q27" i="14" a="1"/>
  <c r="Q27" i="14" s="1"/>
  <c r="R26" i="14"/>
  <c r="P26" i="14" s="1"/>
  <c r="Q26" i="14" a="1"/>
  <c r="Q26" i="14" s="1"/>
  <c r="V25" i="14"/>
  <c r="R25" i="14"/>
  <c r="P25" i="14" s="1"/>
  <c r="Q25" i="14" a="1"/>
  <c r="Q25" i="14" s="1"/>
  <c r="R19" i="14"/>
  <c r="P19" i="14" s="1"/>
  <c r="Q19" i="14" a="1"/>
  <c r="Q19" i="14" s="1"/>
  <c r="R18" i="14"/>
  <c r="P18" i="14" s="1"/>
  <c r="Q18" i="14" a="1"/>
  <c r="Q18" i="14" s="1"/>
  <c r="R17" i="14"/>
  <c r="P17" i="14" s="1"/>
  <c r="K17" i="14" s="1"/>
  <c r="Q17" i="14" a="1"/>
  <c r="Q17" i="14" s="1"/>
  <c r="R16" i="14"/>
  <c r="P16" i="14" s="1"/>
  <c r="K16" i="14" s="1"/>
  <c r="Q16" i="14" a="1"/>
  <c r="Q16" i="14" s="1"/>
  <c r="R15" i="14"/>
  <c r="P15" i="14" s="1"/>
  <c r="Q15" i="14" a="1"/>
  <c r="Q15" i="14" s="1"/>
  <c r="V14" i="14"/>
  <c r="R14" i="14"/>
  <c r="P14" i="14" s="1"/>
  <c r="Q14" i="14" a="1"/>
  <c r="Q14" i="14" s="1"/>
  <c r="R240" i="13"/>
  <c r="P240" i="13" s="1"/>
  <c r="Q240" i="13" a="1"/>
  <c r="Q240" i="13" s="1"/>
  <c r="J240" i="13"/>
  <c r="H240" i="13"/>
  <c r="R239" i="13"/>
  <c r="P239" i="13" s="1"/>
  <c r="Q239" i="13" a="1"/>
  <c r="Q239" i="13" s="1"/>
  <c r="J239" i="13"/>
  <c r="K239" i="13" s="1"/>
  <c r="H239" i="13"/>
  <c r="I239" i="13" s="1"/>
  <c r="R238" i="13"/>
  <c r="P238" i="13" s="1"/>
  <c r="Q238" i="13" a="1"/>
  <c r="Q238" i="13" s="1"/>
  <c r="J238" i="13"/>
  <c r="H238" i="13"/>
  <c r="R237" i="13"/>
  <c r="P237" i="13" s="1"/>
  <c r="Q237" i="13" a="1"/>
  <c r="Q237" i="13" s="1"/>
  <c r="J237" i="13"/>
  <c r="H237" i="13"/>
  <c r="I237" i="13" s="1"/>
  <c r="R236" i="13"/>
  <c r="P236" i="13" s="1"/>
  <c r="Q236" i="13" a="1"/>
  <c r="Q236" i="13" s="1"/>
  <c r="J236" i="13"/>
  <c r="H236" i="13"/>
  <c r="V235" i="13"/>
  <c r="R235" i="13"/>
  <c r="P235" i="13" s="1"/>
  <c r="Q235" i="13" a="1"/>
  <c r="Q235" i="13" s="1"/>
  <c r="J235" i="13"/>
  <c r="H235" i="13"/>
  <c r="R229" i="13"/>
  <c r="P229" i="13" s="1"/>
  <c r="Q229" i="13" a="1"/>
  <c r="Q229" i="13" s="1"/>
  <c r="J229" i="13"/>
  <c r="H229" i="13"/>
  <c r="R228" i="13"/>
  <c r="P228" i="13" s="1"/>
  <c r="Q228" i="13" a="1"/>
  <c r="Q228" i="13" s="1"/>
  <c r="J228" i="13"/>
  <c r="H228" i="13"/>
  <c r="R227" i="13"/>
  <c r="P227" i="13" s="1"/>
  <c r="Q227" i="13" a="1"/>
  <c r="Q227" i="13" s="1"/>
  <c r="J227" i="13"/>
  <c r="H227" i="13"/>
  <c r="R226" i="13"/>
  <c r="P226" i="13" s="1"/>
  <c r="Q226" i="13" a="1"/>
  <c r="Q226" i="13" s="1"/>
  <c r="J226" i="13"/>
  <c r="H226" i="13"/>
  <c r="R225" i="13"/>
  <c r="P225" i="13" s="1"/>
  <c r="Q225" i="13" a="1"/>
  <c r="Q225" i="13" s="1"/>
  <c r="J225" i="13"/>
  <c r="H225" i="13"/>
  <c r="V224" i="13"/>
  <c r="R224" i="13"/>
  <c r="P224" i="13" s="1"/>
  <c r="Q224" i="13" a="1"/>
  <c r="Q224" i="13" s="1"/>
  <c r="J224" i="13"/>
  <c r="H224" i="13"/>
  <c r="R218" i="13"/>
  <c r="P218" i="13" s="1"/>
  <c r="Q218" i="13" a="1"/>
  <c r="Q218" i="13" s="1"/>
  <c r="J218" i="13"/>
  <c r="H218" i="13"/>
  <c r="R217" i="13"/>
  <c r="P217" i="13" s="1"/>
  <c r="Q217" i="13" a="1"/>
  <c r="Q217" i="13" s="1"/>
  <c r="J217" i="13"/>
  <c r="H217" i="13"/>
  <c r="R216" i="13"/>
  <c r="P216" i="13" s="1"/>
  <c r="Q216" i="13" a="1"/>
  <c r="Q216" i="13" s="1"/>
  <c r="J216" i="13"/>
  <c r="H216" i="13"/>
  <c r="R215" i="13"/>
  <c r="P215" i="13" s="1"/>
  <c r="Q215" i="13" a="1"/>
  <c r="Q215" i="13" s="1"/>
  <c r="J215" i="13"/>
  <c r="H215" i="13"/>
  <c r="R214" i="13"/>
  <c r="P214" i="13" s="1"/>
  <c r="Q214" i="13" a="1"/>
  <c r="Q214" i="13" s="1"/>
  <c r="J214" i="13"/>
  <c r="H214" i="13"/>
  <c r="V213" i="13"/>
  <c r="R213" i="13"/>
  <c r="P213" i="13" s="1"/>
  <c r="Q213" i="13" a="1"/>
  <c r="Q213" i="13" s="1"/>
  <c r="J213" i="13"/>
  <c r="H213" i="13"/>
  <c r="R207" i="13"/>
  <c r="P207" i="13" s="1"/>
  <c r="Q207" i="13" a="1"/>
  <c r="Q207" i="13" s="1"/>
  <c r="J207" i="13"/>
  <c r="H207" i="13"/>
  <c r="R206" i="13"/>
  <c r="P206" i="13" s="1"/>
  <c r="Q206" i="13" a="1"/>
  <c r="Q206" i="13" s="1"/>
  <c r="J206" i="13"/>
  <c r="H206" i="13"/>
  <c r="R205" i="13"/>
  <c r="P205" i="13" s="1"/>
  <c r="Q205" i="13" a="1"/>
  <c r="Q205" i="13" s="1"/>
  <c r="J205" i="13"/>
  <c r="H205" i="13"/>
  <c r="R204" i="13"/>
  <c r="P204" i="13" s="1"/>
  <c r="Q204" i="13" a="1"/>
  <c r="Q204" i="13" s="1"/>
  <c r="J204" i="13"/>
  <c r="H204" i="13"/>
  <c r="R203" i="13"/>
  <c r="P203" i="13" s="1"/>
  <c r="Q203" i="13" a="1"/>
  <c r="Q203" i="13" s="1"/>
  <c r="J203" i="13"/>
  <c r="H203" i="13"/>
  <c r="I203" i="13" s="1"/>
  <c r="V202" i="13"/>
  <c r="R202" i="13"/>
  <c r="P202" i="13" s="1"/>
  <c r="Q202" i="13" a="1"/>
  <c r="Q202" i="13" s="1"/>
  <c r="J202" i="13"/>
  <c r="H202" i="13"/>
  <c r="R196" i="13"/>
  <c r="P196" i="13" s="1"/>
  <c r="Q196" i="13" a="1"/>
  <c r="Q196" i="13" s="1"/>
  <c r="J196" i="13"/>
  <c r="H196" i="13"/>
  <c r="R195" i="13"/>
  <c r="P195" i="13" s="1"/>
  <c r="Q195" i="13" a="1"/>
  <c r="Q195" i="13" s="1"/>
  <c r="J195" i="13"/>
  <c r="H195" i="13"/>
  <c r="I195" i="13" s="1"/>
  <c r="R194" i="13"/>
  <c r="P194" i="13" s="1"/>
  <c r="Q194" i="13" a="1"/>
  <c r="Q194" i="13" s="1"/>
  <c r="J194" i="13"/>
  <c r="H194" i="13"/>
  <c r="R193" i="13"/>
  <c r="P193" i="13" s="1"/>
  <c r="Q193" i="13" a="1"/>
  <c r="Q193" i="13" s="1"/>
  <c r="J193" i="13"/>
  <c r="H193" i="13"/>
  <c r="R192" i="13"/>
  <c r="P192" i="13" s="1"/>
  <c r="Q192" i="13" a="1"/>
  <c r="Q192" i="13" s="1"/>
  <c r="J192" i="13"/>
  <c r="H192" i="13"/>
  <c r="V191" i="13"/>
  <c r="R191" i="13"/>
  <c r="P191" i="13" s="1"/>
  <c r="Q191" i="13" a="1"/>
  <c r="Q191" i="13" s="1"/>
  <c r="J191" i="13"/>
  <c r="H191" i="13"/>
  <c r="R185" i="13"/>
  <c r="P185" i="13" s="1"/>
  <c r="Q185" i="13" a="1"/>
  <c r="Q185" i="13" s="1"/>
  <c r="J185" i="13"/>
  <c r="H185" i="13"/>
  <c r="R184" i="13"/>
  <c r="P184" i="13" s="1"/>
  <c r="Q184" i="13" a="1"/>
  <c r="Q184" i="13" s="1"/>
  <c r="J184" i="13"/>
  <c r="H184" i="13"/>
  <c r="R183" i="13"/>
  <c r="P183" i="13" s="1"/>
  <c r="Q183" i="13" a="1"/>
  <c r="Q183" i="13" s="1"/>
  <c r="J183" i="13"/>
  <c r="H183" i="13"/>
  <c r="R182" i="13"/>
  <c r="Q182" i="13" a="1"/>
  <c r="Q182" i="13" s="1"/>
  <c r="P182" i="13"/>
  <c r="J182" i="13"/>
  <c r="H182" i="13"/>
  <c r="R181" i="13"/>
  <c r="P181" i="13" s="1"/>
  <c r="Q181" i="13" a="1"/>
  <c r="Q181" i="13" s="1"/>
  <c r="J181" i="13"/>
  <c r="H181" i="13"/>
  <c r="V180" i="13"/>
  <c r="R180" i="13"/>
  <c r="P180" i="13" s="1"/>
  <c r="Q180" i="13" a="1"/>
  <c r="Q180" i="13" s="1"/>
  <c r="J180" i="13"/>
  <c r="H180" i="13"/>
  <c r="R174" i="13"/>
  <c r="P174" i="13" s="1"/>
  <c r="Q174" i="13" a="1"/>
  <c r="Q174" i="13" s="1"/>
  <c r="J174" i="13"/>
  <c r="H174" i="13"/>
  <c r="R173" i="13"/>
  <c r="P173" i="13" s="1"/>
  <c r="Q173" i="13" a="1"/>
  <c r="Q173" i="13" s="1"/>
  <c r="J173" i="13"/>
  <c r="K173" i="13" s="1"/>
  <c r="H173" i="13"/>
  <c r="R172" i="13"/>
  <c r="P172" i="13" s="1"/>
  <c r="Q172" i="13" a="1"/>
  <c r="Q172" i="13" s="1"/>
  <c r="J172" i="13"/>
  <c r="H172" i="13"/>
  <c r="R171" i="13"/>
  <c r="P171" i="13" s="1"/>
  <c r="Q171" i="13" a="1"/>
  <c r="Q171" i="13" s="1"/>
  <c r="J171" i="13"/>
  <c r="H171" i="13"/>
  <c r="R170" i="13"/>
  <c r="P170" i="13" s="1"/>
  <c r="Q170" i="13" a="1"/>
  <c r="Q170" i="13" s="1"/>
  <c r="J170" i="13"/>
  <c r="H170" i="13"/>
  <c r="V169" i="13"/>
  <c r="R169" i="13"/>
  <c r="P169" i="13" s="1"/>
  <c r="Q169" i="13" a="1"/>
  <c r="Q169" i="13" s="1"/>
  <c r="J169" i="13"/>
  <c r="H169" i="13"/>
  <c r="R163" i="13"/>
  <c r="P163" i="13" s="1"/>
  <c r="Q163" i="13" a="1"/>
  <c r="Q163" i="13" s="1"/>
  <c r="J163" i="13"/>
  <c r="H163" i="13"/>
  <c r="R162" i="13"/>
  <c r="P162" i="13" s="1"/>
  <c r="Q162" i="13" a="1"/>
  <c r="Q162" i="13" s="1"/>
  <c r="J162" i="13"/>
  <c r="H162" i="13"/>
  <c r="R161" i="13"/>
  <c r="P161" i="13" s="1"/>
  <c r="Q161" i="13" a="1"/>
  <c r="Q161" i="13" s="1"/>
  <c r="J161" i="13"/>
  <c r="H161" i="13"/>
  <c r="R160" i="13"/>
  <c r="P160" i="13" s="1"/>
  <c r="Q160" i="13" a="1"/>
  <c r="Q160" i="13" s="1"/>
  <c r="J160" i="13"/>
  <c r="H160" i="13"/>
  <c r="R159" i="13"/>
  <c r="P159" i="13" s="1"/>
  <c r="Q159" i="13" a="1"/>
  <c r="Q159" i="13" s="1"/>
  <c r="J159" i="13"/>
  <c r="H159" i="13"/>
  <c r="V158" i="13"/>
  <c r="R158" i="13"/>
  <c r="P158" i="13" s="1"/>
  <c r="Q158" i="13" a="1"/>
  <c r="Q158" i="13" s="1"/>
  <c r="J158" i="13"/>
  <c r="H158" i="13"/>
  <c r="R152" i="13"/>
  <c r="P152" i="13" s="1"/>
  <c r="Q152" i="13" a="1"/>
  <c r="Q152" i="13" s="1"/>
  <c r="J152" i="13"/>
  <c r="H152" i="13"/>
  <c r="R151" i="13"/>
  <c r="P151" i="13" s="1"/>
  <c r="Q151" i="13" a="1"/>
  <c r="Q151" i="13" s="1"/>
  <c r="J151" i="13"/>
  <c r="H151" i="13"/>
  <c r="R150" i="13"/>
  <c r="Q150" i="13" a="1"/>
  <c r="Q150" i="13" s="1"/>
  <c r="P150" i="13"/>
  <c r="J150" i="13"/>
  <c r="H150" i="13"/>
  <c r="R149" i="13"/>
  <c r="P149" i="13" s="1"/>
  <c r="Q149" i="13" a="1"/>
  <c r="Q149" i="13" s="1"/>
  <c r="J149" i="13"/>
  <c r="H149" i="13"/>
  <c r="R148" i="13"/>
  <c r="P148" i="13" s="1"/>
  <c r="Q148" i="13" a="1"/>
  <c r="Q148" i="13" s="1"/>
  <c r="J148" i="13"/>
  <c r="H148" i="13"/>
  <c r="V147" i="13"/>
  <c r="R147" i="13"/>
  <c r="P147" i="13" s="1"/>
  <c r="Q147" i="13" a="1"/>
  <c r="Q147" i="13" s="1"/>
  <c r="J147" i="13"/>
  <c r="H147" i="13"/>
  <c r="R141" i="13"/>
  <c r="P141" i="13" s="1"/>
  <c r="Q141" i="13" a="1"/>
  <c r="Q141" i="13" s="1"/>
  <c r="J141" i="13"/>
  <c r="H141" i="13"/>
  <c r="R140" i="13"/>
  <c r="P140" i="13" s="1"/>
  <c r="Q140" i="13" a="1"/>
  <c r="Q140" i="13" s="1"/>
  <c r="J140" i="13"/>
  <c r="H140" i="13"/>
  <c r="R139" i="13"/>
  <c r="P139" i="13" s="1"/>
  <c r="Q139" i="13" a="1"/>
  <c r="Q139" i="13" s="1"/>
  <c r="J139" i="13"/>
  <c r="H139" i="13"/>
  <c r="R138" i="13"/>
  <c r="P138" i="13" s="1"/>
  <c r="Q138" i="13" a="1"/>
  <c r="Q138" i="13" s="1"/>
  <c r="J138" i="13"/>
  <c r="H138" i="13"/>
  <c r="R137" i="13"/>
  <c r="P137" i="13" s="1"/>
  <c r="Q137" i="13" a="1"/>
  <c r="Q137" i="13" s="1"/>
  <c r="J137" i="13"/>
  <c r="H137" i="13"/>
  <c r="V136" i="13"/>
  <c r="R136" i="13"/>
  <c r="P136" i="13" s="1"/>
  <c r="Q136" i="13" a="1"/>
  <c r="Q136" i="13" s="1"/>
  <c r="J136" i="13"/>
  <c r="H136" i="13"/>
  <c r="R118" i="13"/>
  <c r="P118" i="13" s="1"/>
  <c r="Q118" i="13" a="1"/>
  <c r="Q118" i="13" s="1"/>
  <c r="J118" i="13"/>
  <c r="H118" i="13"/>
  <c r="R117" i="13"/>
  <c r="P117" i="13" s="1"/>
  <c r="Q117" i="13" a="1"/>
  <c r="Q117" i="13" s="1"/>
  <c r="J117" i="13"/>
  <c r="H117" i="13"/>
  <c r="R116" i="13"/>
  <c r="Q116" i="13" a="1"/>
  <c r="Q116" i="13" s="1"/>
  <c r="P116" i="13"/>
  <c r="J116" i="13"/>
  <c r="H116" i="13"/>
  <c r="R115" i="13"/>
  <c r="P115" i="13" s="1"/>
  <c r="Q115" i="13" a="1"/>
  <c r="Q115" i="13" s="1"/>
  <c r="J115" i="13"/>
  <c r="H115" i="13"/>
  <c r="R114" i="13"/>
  <c r="P114" i="13" s="1"/>
  <c r="Q114" i="13" a="1"/>
  <c r="Q114" i="13" s="1"/>
  <c r="J114" i="13"/>
  <c r="H114" i="13"/>
  <c r="V113" i="13"/>
  <c r="R113" i="13"/>
  <c r="P113" i="13" s="1"/>
  <c r="Q113" i="13" a="1"/>
  <c r="Q113" i="13" s="1"/>
  <c r="J113" i="13"/>
  <c r="H113" i="13"/>
  <c r="R107" i="13"/>
  <c r="P107" i="13" s="1"/>
  <c r="Q107" i="13" a="1"/>
  <c r="Q107" i="13" s="1"/>
  <c r="J107" i="13"/>
  <c r="H107" i="13"/>
  <c r="R106" i="13"/>
  <c r="Q106" i="13" a="1"/>
  <c r="Q106" i="13" s="1"/>
  <c r="P106" i="13"/>
  <c r="J106" i="13"/>
  <c r="H106" i="13"/>
  <c r="R105" i="13"/>
  <c r="P105" i="13" s="1"/>
  <c r="Q105" i="13" a="1"/>
  <c r="Q105" i="13" s="1"/>
  <c r="J105" i="13"/>
  <c r="H105" i="13"/>
  <c r="I105" i="13" s="1"/>
  <c r="R104" i="13"/>
  <c r="Q104" i="13" a="1"/>
  <c r="Q104" i="13" s="1"/>
  <c r="P104" i="13"/>
  <c r="J104" i="13"/>
  <c r="H104" i="13"/>
  <c r="R103" i="13"/>
  <c r="P103" i="13" s="1"/>
  <c r="Q103" i="13" a="1"/>
  <c r="Q103" i="13" s="1"/>
  <c r="J103" i="13"/>
  <c r="H103" i="13"/>
  <c r="V102" i="13"/>
  <c r="R102" i="13"/>
  <c r="P102" i="13" s="1"/>
  <c r="Q102" i="13" a="1"/>
  <c r="Q102" i="13" s="1"/>
  <c r="J102" i="13"/>
  <c r="H102" i="13"/>
  <c r="I102" i="13" s="1"/>
  <c r="R96" i="13"/>
  <c r="Q96" i="13" a="1"/>
  <c r="Q96" i="13" s="1"/>
  <c r="P96" i="13"/>
  <c r="J96" i="13"/>
  <c r="H96" i="13"/>
  <c r="R95" i="13"/>
  <c r="P95" i="13" s="1"/>
  <c r="Q95" i="13" a="1"/>
  <c r="Q95" i="13" s="1"/>
  <c r="J95" i="13"/>
  <c r="K95" i="13" s="1"/>
  <c r="H95" i="13"/>
  <c r="I95" i="13" s="1"/>
  <c r="R94" i="13"/>
  <c r="P94" i="13" s="1"/>
  <c r="Q94" i="13" a="1"/>
  <c r="Q94" i="13" s="1"/>
  <c r="J94" i="13"/>
  <c r="H94" i="13"/>
  <c r="R93" i="13"/>
  <c r="P93" i="13" s="1"/>
  <c r="Q93" i="13" a="1"/>
  <c r="Q93" i="13" s="1"/>
  <c r="J93" i="13"/>
  <c r="H93" i="13"/>
  <c r="R92" i="13"/>
  <c r="P92" i="13" s="1"/>
  <c r="Q92" i="13" a="1"/>
  <c r="Q92" i="13" s="1"/>
  <c r="J92" i="13"/>
  <c r="H92" i="13"/>
  <c r="V91" i="13"/>
  <c r="R91" i="13"/>
  <c r="P91" i="13" s="1"/>
  <c r="Q91" i="13" a="1"/>
  <c r="Q91" i="13" s="1"/>
  <c r="J91" i="13"/>
  <c r="H91" i="13"/>
  <c r="R85" i="13"/>
  <c r="Q85" i="13" a="1"/>
  <c r="Q85" i="13" s="1"/>
  <c r="P85" i="13"/>
  <c r="J85" i="13"/>
  <c r="K85" i="13" s="1"/>
  <c r="H85" i="13"/>
  <c r="R84" i="13"/>
  <c r="Q84" i="13" a="1"/>
  <c r="Q84" i="13" s="1"/>
  <c r="P84" i="13"/>
  <c r="J84" i="13"/>
  <c r="K84" i="13" s="1"/>
  <c r="H84" i="13"/>
  <c r="R83" i="13"/>
  <c r="P83" i="13" s="1"/>
  <c r="Q83" i="13" a="1"/>
  <c r="Q83" i="13" s="1"/>
  <c r="J83" i="13"/>
  <c r="H83" i="13"/>
  <c r="R82" i="13"/>
  <c r="P82" i="13" s="1"/>
  <c r="Q82" i="13" a="1"/>
  <c r="Q82" i="13" s="1"/>
  <c r="J82" i="13"/>
  <c r="H82" i="13"/>
  <c r="R81" i="13"/>
  <c r="P81" i="13" s="1"/>
  <c r="Q81" i="13" a="1"/>
  <c r="Q81" i="13" s="1"/>
  <c r="J81" i="13"/>
  <c r="H81" i="13"/>
  <c r="V80" i="13"/>
  <c r="R80" i="13"/>
  <c r="P80" i="13" s="1"/>
  <c r="Q80" i="13" a="1"/>
  <c r="Q80" i="13" s="1"/>
  <c r="J80" i="13"/>
  <c r="H80" i="13"/>
  <c r="R74" i="13"/>
  <c r="P74" i="13" s="1"/>
  <c r="Q74" i="13" a="1"/>
  <c r="Q74" i="13" s="1"/>
  <c r="J74" i="13"/>
  <c r="H74" i="13"/>
  <c r="R73" i="13"/>
  <c r="P73" i="13" s="1"/>
  <c r="Q73" i="13" a="1"/>
  <c r="Q73" i="13" s="1"/>
  <c r="J73" i="13"/>
  <c r="H73" i="13"/>
  <c r="R72" i="13"/>
  <c r="P72" i="13" s="1"/>
  <c r="Q72" i="13" a="1"/>
  <c r="Q72" i="13" s="1"/>
  <c r="J72" i="13"/>
  <c r="H72" i="13"/>
  <c r="R71" i="13"/>
  <c r="P71" i="13" s="1"/>
  <c r="Q71" i="13" a="1"/>
  <c r="Q71" i="13" s="1"/>
  <c r="J71" i="13"/>
  <c r="H71" i="13"/>
  <c r="R70" i="13"/>
  <c r="Q70" i="13" a="1"/>
  <c r="Q70" i="13" s="1"/>
  <c r="P70" i="13"/>
  <c r="J70" i="13"/>
  <c r="K70" i="13" s="1"/>
  <c r="H70" i="13"/>
  <c r="V69" i="13"/>
  <c r="R69" i="13"/>
  <c r="P69" i="13" s="1"/>
  <c r="Q69" i="13" a="1"/>
  <c r="Q69" i="13" s="1"/>
  <c r="J69" i="13"/>
  <c r="H69" i="13"/>
  <c r="R63" i="13"/>
  <c r="P63" i="13" s="1"/>
  <c r="Q63" i="13" a="1"/>
  <c r="Q63" i="13" s="1"/>
  <c r="J63" i="13"/>
  <c r="H63" i="13"/>
  <c r="R62" i="13"/>
  <c r="P62" i="13" s="1"/>
  <c r="Q62" i="13" a="1"/>
  <c r="Q62" i="13" s="1"/>
  <c r="J62" i="13"/>
  <c r="H62" i="13"/>
  <c r="R61" i="13"/>
  <c r="P61" i="13" s="1"/>
  <c r="Q61" i="13" a="1"/>
  <c r="Q61" i="13" s="1"/>
  <c r="J61" i="13"/>
  <c r="H61" i="13"/>
  <c r="R60" i="13"/>
  <c r="P60" i="13" s="1"/>
  <c r="Q60" i="13" a="1"/>
  <c r="Q60" i="13" s="1"/>
  <c r="J60" i="13"/>
  <c r="H60" i="13"/>
  <c r="R59" i="13"/>
  <c r="P59" i="13" s="1"/>
  <c r="Q59" i="13" a="1"/>
  <c r="Q59" i="13" s="1"/>
  <c r="J59" i="13"/>
  <c r="H59" i="13"/>
  <c r="V58" i="13"/>
  <c r="R58" i="13"/>
  <c r="P58" i="13" s="1"/>
  <c r="Q58" i="13" a="1"/>
  <c r="Q58" i="13" s="1"/>
  <c r="J58" i="13"/>
  <c r="H58" i="13"/>
  <c r="R52" i="13"/>
  <c r="P52" i="13" s="1"/>
  <c r="Q52" i="13" a="1"/>
  <c r="Q52" i="13" s="1"/>
  <c r="J52" i="13"/>
  <c r="H52" i="13"/>
  <c r="R51" i="13"/>
  <c r="Q51" i="13" a="1"/>
  <c r="Q51" i="13" s="1"/>
  <c r="P51" i="13"/>
  <c r="J51" i="13"/>
  <c r="H51" i="13"/>
  <c r="R50" i="13"/>
  <c r="P50" i="13" s="1"/>
  <c r="Q50" i="13" a="1"/>
  <c r="Q50" i="13" s="1"/>
  <c r="J50" i="13"/>
  <c r="K50" i="13" s="1"/>
  <c r="H50" i="13"/>
  <c r="R49" i="13"/>
  <c r="P49" i="13" s="1"/>
  <c r="Q49" i="13" a="1"/>
  <c r="Q49" i="13" s="1"/>
  <c r="J49" i="13"/>
  <c r="H49" i="13"/>
  <c r="R48" i="13"/>
  <c r="P48" i="13" s="1"/>
  <c r="Q48" i="13" a="1"/>
  <c r="Q48" i="13" s="1"/>
  <c r="J48" i="13"/>
  <c r="H48" i="13"/>
  <c r="V47" i="13"/>
  <c r="R47" i="13"/>
  <c r="P47" i="13" s="1"/>
  <c r="Q47" i="13" a="1"/>
  <c r="Q47" i="13" s="1"/>
  <c r="J47" i="13"/>
  <c r="H47" i="13"/>
  <c r="R41" i="13"/>
  <c r="P41" i="13" s="1"/>
  <c r="Q41" i="13" a="1"/>
  <c r="Q41" i="13" s="1"/>
  <c r="J41" i="13"/>
  <c r="H41" i="13"/>
  <c r="R40" i="13"/>
  <c r="P40" i="13" s="1"/>
  <c r="Q40" i="13" a="1"/>
  <c r="Q40" i="13" s="1"/>
  <c r="J40" i="13"/>
  <c r="H40" i="13"/>
  <c r="R39" i="13"/>
  <c r="P39" i="13" s="1"/>
  <c r="Q39" i="13" a="1"/>
  <c r="Q39" i="13" s="1"/>
  <c r="J39" i="13"/>
  <c r="H39" i="13"/>
  <c r="R38" i="13"/>
  <c r="P38" i="13" s="1"/>
  <c r="Q38" i="13" a="1"/>
  <c r="Q38" i="13" s="1"/>
  <c r="J38" i="13"/>
  <c r="H38" i="13"/>
  <c r="R37" i="13"/>
  <c r="P37" i="13" s="1"/>
  <c r="Q37" i="13" a="1"/>
  <c r="Q37" i="13" s="1"/>
  <c r="J37" i="13"/>
  <c r="H37" i="13"/>
  <c r="V36" i="13"/>
  <c r="R36" i="13"/>
  <c r="P36" i="13" s="1"/>
  <c r="Q36" i="13" a="1"/>
  <c r="Q36" i="13" s="1"/>
  <c r="J36" i="13"/>
  <c r="H36" i="13"/>
  <c r="R30" i="13"/>
  <c r="P30" i="13" s="1"/>
  <c r="Q30" i="13" a="1"/>
  <c r="Q30" i="13" s="1"/>
  <c r="J30" i="13"/>
  <c r="H30" i="13"/>
  <c r="R29" i="13"/>
  <c r="P29" i="13" s="1"/>
  <c r="Q29" i="13" a="1"/>
  <c r="Q29" i="13" s="1"/>
  <c r="J29" i="13"/>
  <c r="H29" i="13"/>
  <c r="R28" i="13"/>
  <c r="P28" i="13" s="1"/>
  <c r="Q28" i="13" a="1"/>
  <c r="Q28" i="13" s="1"/>
  <c r="J28" i="13"/>
  <c r="H28" i="13"/>
  <c r="R27" i="13"/>
  <c r="Q27" i="13" a="1"/>
  <c r="Q27" i="13" s="1"/>
  <c r="P27" i="13"/>
  <c r="J27" i="13"/>
  <c r="K27" i="13" s="1"/>
  <c r="H27" i="13"/>
  <c r="I27" i="13" s="1"/>
  <c r="R26" i="13"/>
  <c r="P26" i="13" s="1"/>
  <c r="Q26" i="13" a="1"/>
  <c r="Q26" i="13" s="1"/>
  <c r="J26" i="13"/>
  <c r="H26" i="13"/>
  <c r="V25" i="13"/>
  <c r="R25" i="13"/>
  <c r="P25" i="13" s="1"/>
  <c r="Q25" i="13" a="1"/>
  <c r="Q25" i="13" s="1"/>
  <c r="J25" i="13"/>
  <c r="H25" i="13"/>
  <c r="R19" i="13"/>
  <c r="P19" i="13" s="1"/>
  <c r="Q19" i="13" a="1"/>
  <c r="Q19" i="13" s="1"/>
  <c r="J19" i="13"/>
  <c r="H19" i="13"/>
  <c r="R18" i="13"/>
  <c r="P18" i="13" s="1"/>
  <c r="Q18" i="13" a="1"/>
  <c r="Q18" i="13" s="1"/>
  <c r="J18" i="13"/>
  <c r="H18" i="13"/>
  <c r="R17" i="13"/>
  <c r="P17" i="13" s="1"/>
  <c r="Q17" i="13" a="1"/>
  <c r="Q17" i="13" s="1"/>
  <c r="J17" i="13"/>
  <c r="H17" i="13"/>
  <c r="R16" i="13"/>
  <c r="P16" i="13" s="1"/>
  <c r="Q16" i="13" a="1"/>
  <c r="Q16" i="13" s="1"/>
  <c r="J16" i="13"/>
  <c r="H16" i="13"/>
  <c r="R15" i="13"/>
  <c r="P15" i="13" s="1"/>
  <c r="Q15" i="13" a="1"/>
  <c r="Q15" i="13" s="1"/>
  <c r="J15" i="13"/>
  <c r="H15" i="13"/>
  <c r="V14" i="13"/>
  <c r="R14" i="13"/>
  <c r="P14" i="13" s="1"/>
  <c r="Q14" i="13" a="1"/>
  <c r="Q14" i="13" s="1"/>
  <c r="J14" i="13"/>
  <c r="K14" i="13" s="1"/>
  <c r="H14" i="13"/>
  <c r="Q136" i="2" a="1"/>
  <c r="Q136" i="2" s="1"/>
  <c r="P136" i="2" s="1"/>
  <c r="R136" i="2"/>
  <c r="R240" i="2"/>
  <c r="P240" i="2" s="1"/>
  <c r="Q240" i="2" a="1"/>
  <c r="Q240" i="2" s="1"/>
  <c r="R239" i="2"/>
  <c r="P239" i="2" s="1"/>
  <c r="Q239" i="2" a="1"/>
  <c r="Q239" i="2" s="1"/>
  <c r="R238" i="2"/>
  <c r="P238" i="2" s="1"/>
  <c r="Q238" i="2" a="1"/>
  <c r="Q238" i="2" s="1"/>
  <c r="R237" i="2"/>
  <c r="P237" i="2" s="1"/>
  <c r="Q237" i="2" a="1"/>
  <c r="Q237" i="2" s="1"/>
  <c r="R236" i="2"/>
  <c r="P236" i="2" s="1"/>
  <c r="Q236" i="2" a="1"/>
  <c r="Q236" i="2" s="1"/>
  <c r="V235" i="2"/>
  <c r="R235" i="2"/>
  <c r="P235" i="2" s="1"/>
  <c r="Q235" i="2" a="1"/>
  <c r="Q235" i="2" s="1"/>
  <c r="R229" i="2"/>
  <c r="P229" i="2" s="1"/>
  <c r="Q229" i="2" a="1"/>
  <c r="Q229" i="2" s="1"/>
  <c r="R228" i="2"/>
  <c r="P228" i="2" s="1"/>
  <c r="Q228" i="2" a="1"/>
  <c r="Q228" i="2" s="1"/>
  <c r="R227" i="2"/>
  <c r="P227" i="2" s="1"/>
  <c r="Q227" i="2" a="1"/>
  <c r="Q227" i="2" s="1"/>
  <c r="R226" i="2"/>
  <c r="P226" i="2" s="1"/>
  <c r="Q226" i="2" a="1"/>
  <c r="Q226" i="2" s="1"/>
  <c r="R225" i="2"/>
  <c r="P225" i="2" s="1"/>
  <c r="Q225" i="2" a="1"/>
  <c r="Q225" i="2" s="1"/>
  <c r="V224" i="2"/>
  <c r="R224" i="2"/>
  <c r="P224" i="2" s="1"/>
  <c r="Q224" i="2" a="1"/>
  <c r="Q224" i="2" s="1"/>
  <c r="R218" i="2"/>
  <c r="P218" i="2" s="1"/>
  <c r="Q218" i="2" a="1"/>
  <c r="Q218" i="2" s="1"/>
  <c r="R217" i="2"/>
  <c r="P217" i="2" s="1"/>
  <c r="Q217" i="2" a="1"/>
  <c r="Q217" i="2" s="1"/>
  <c r="R216" i="2"/>
  <c r="P216" i="2" s="1"/>
  <c r="Q216" i="2" a="1"/>
  <c r="Q216" i="2" s="1"/>
  <c r="R215" i="2"/>
  <c r="P215" i="2" s="1"/>
  <c r="Q215" i="2" a="1"/>
  <c r="Q215" i="2" s="1"/>
  <c r="R214" i="2"/>
  <c r="P214" i="2" s="1"/>
  <c r="Q214" i="2" a="1"/>
  <c r="Q214" i="2" s="1"/>
  <c r="V213" i="2"/>
  <c r="R213" i="2"/>
  <c r="P213" i="2" s="1"/>
  <c r="Q213" i="2" a="1"/>
  <c r="Q213" i="2" s="1"/>
  <c r="R207" i="2"/>
  <c r="P207" i="2" s="1"/>
  <c r="Q207" i="2" a="1"/>
  <c r="Q207" i="2" s="1"/>
  <c r="R206" i="2"/>
  <c r="P206" i="2" s="1"/>
  <c r="Q206" i="2" a="1"/>
  <c r="Q206" i="2" s="1"/>
  <c r="R205" i="2"/>
  <c r="P205" i="2" s="1"/>
  <c r="Q205" i="2" a="1"/>
  <c r="Q205" i="2" s="1"/>
  <c r="R204" i="2"/>
  <c r="P204" i="2" s="1"/>
  <c r="Q204" i="2" a="1"/>
  <c r="Q204" i="2" s="1"/>
  <c r="R203" i="2"/>
  <c r="P203" i="2" s="1"/>
  <c r="Q203" i="2" a="1"/>
  <c r="Q203" i="2" s="1"/>
  <c r="V202" i="2"/>
  <c r="R202" i="2"/>
  <c r="P202" i="2" s="1"/>
  <c r="Q202" i="2" a="1"/>
  <c r="Q202" i="2" s="1"/>
  <c r="R196" i="2"/>
  <c r="P196" i="2" s="1"/>
  <c r="Q196" i="2" a="1"/>
  <c r="Q196" i="2" s="1"/>
  <c r="R195" i="2"/>
  <c r="P195" i="2" s="1"/>
  <c r="Q195" i="2" a="1"/>
  <c r="Q195" i="2" s="1"/>
  <c r="R194" i="2"/>
  <c r="P194" i="2" s="1"/>
  <c r="Q194" i="2" a="1"/>
  <c r="Q194" i="2" s="1"/>
  <c r="R193" i="2"/>
  <c r="P193" i="2" s="1"/>
  <c r="Q193" i="2" a="1"/>
  <c r="Q193" i="2" s="1"/>
  <c r="R192" i="2"/>
  <c r="P192" i="2" s="1"/>
  <c r="Q192" i="2" a="1"/>
  <c r="Q192" i="2" s="1"/>
  <c r="V191" i="2"/>
  <c r="R191" i="2"/>
  <c r="P191" i="2" s="1"/>
  <c r="Q191" i="2" a="1"/>
  <c r="Q191" i="2" s="1"/>
  <c r="R185" i="2"/>
  <c r="P185" i="2" s="1"/>
  <c r="Q185" i="2" a="1"/>
  <c r="Q185" i="2" s="1"/>
  <c r="R184" i="2"/>
  <c r="P184" i="2" s="1"/>
  <c r="Q184" i="2" a="1"/>
  <c r="Q184" i="2" s="1"/>
  <c r="R183" i="2"/>
  <c r="P183" i="2" s="1"/>
  <c r="Q183" i="2" a="1"/>
  <c r="Q183" i="2" s="1"/>
  <c r="R182" i="2"/>
  <c r="P182" i="2" s="1"/>
  <c r="Q182" i="2" a="1"/>
  <c r="Q182" i="2" s="1"/>
  <c r="R181" i="2"/>
  <c r="P181" i="2" s="1"/>
  <c r="Q181" i="2" a="1"/>
  <c r="Q181" i="2" s="1"/>
  <c r="V180" i="2"/>
  <c r="R180" i="2"/>
  <c r="P180" i="2" s="1"/>
  <c r="Q180" i="2" a="1"/>
  <c r="Q180" i="2" s="1"/>
  <c r="R174" i="2"/>
  <c r="P174" i="2" s="1"/>
  <c r="Q174" i="2" a="1"/>
  <c r="Q174" i="2" s="1"/>
  <c r="R173" i="2"/>
  <c r="P173" i="2" s="1"/>
  <c r="Q173" i="2" a="1"/>
  <c r="Q173" i="2" s="1"/>
  <c r="R172" i="2"/>
  <c r="P172" i="2" s="1"/>
  <c r="Q172" i="2" a="1"/>
  <c r="Q172" i="2" s="1"/>
  <c r="R171" i="2"/>
  <c r="P171" i="2" s="1"/>
  <c r="Q171" i="2" a="1"/>
  <c r="Q171" i="2" s="1"/>
  <c r="R170" i="2"/>
  <c r="P170" i="2" s="1"/>
  <c r="Q170" i="2" a="1"/>
  <c r="Q170" i="2" s="1"/>
  <c r="V169" i="2"/>
  <c r="R169" i="2"/>
  <c r="P169" i="2" s="1"/>
  <c r="Q169" i="2" a="1"/>
  <c r="Q169" i="2" s="1"/>
  <c r="R163" i="2"/>
  <c r="P163" i="2" s="1"/>
  <c r="Q163" i="2" a="1"/>
  <c r="Q163" i="2" s="1"/>
  <c r="R162" i="2"/>
  <c r="P162" i="2" s="1"/>
  <c r="Q162" i="2" a="1"/>
  <c r="Q162" i="2" s="1"/>
  <c r="R161" i="2"/>
  <c r="P161" i="2" s="1"/>
  <c r="Q161" i="2" a="1"/>
  <c r="Q161" i="2" s="1"/>
  <c r="R160" i="2"/>
  <c r="Q160" i="2" a="1"/>
  <c r="Q160" i="2" s="1"/>
  <c r="P160" i="2"/>
  <c r="R159" i="2"/>
  <c r="P159" i="2" s="1"/>
  <c r="Q159" i="2" a="1"/>
  <c r="Q159" i="2" s="1"/>
  <c r="V158" i="2"/>
  <c r="R158" i="2"/>
  <c r="P158" i="2" s="1"/>
  <c r="Q158" i="2" a="1"/>
  <c r="Q158" i="2" s="1"/>
  <c r="R152" i="2"/>
  <c r="P152" i="2" s="1"/>
  <c r="Q152" i="2" a="1"/>
  <c r="Q152" i="2" s="1"/>
  <c r="R151" i="2"/>
  <c r="P151" i="2" s="1"/>
  <c r="Q151" i="2" a="1"/>
  <c r="Q151" i="2" s="1"/>
  <c r="R150" i="2"/>
  <c r="P150" i="2" s="1"/>
  <c r="Q150" i="2" a="1"/>
  <c r="Q150" i="2" s="1"/>
  <c r="R149" i="2"/>
  <c r="P149" i="2" s="1"/>
  <c r="Q149" i="2" a="1"/>
  <c r="Q149" i="2" s="1"/>
  <c r="R148" i="2"/>
  <c r="P148" i="2" s="1"/>
  <c r="Q148" i="2" a="1"/>
  <c r="Q148" i="2" s="1"/>
  <c r="V147" i="2"/>
  <c r="R147" i="2"/>
  <c r="P147" i="2" s="1"/>
  <c r="Q147" i="2" a="1"/>
  <c r="Q147" i="2" s="1"/>
  <c r="R141" i="2"/>
  <c r="P141" i="2" s="1"/>
  <c r="Q141" i="2" a="1"/>
  <c r="Q141" i="2" s="1"/>
  <c r="R140" i="2"/>
  <c r="P140" i="2" s="1"/>
  <c r="Q140" i="2" a="1"/>
  <c r="Q140" i="2" s="1"/>
  <c r="R139" i="2"/>
  <c r="P139" i="2" s="1"/>
  <c r="Q139" i="2" a="1"/>
  <c r="Q139" i="2" s="1"/>
  <c r="R138" i="2"/>
  <c r="P138" i="2" s="1"/>
  <c r="Q138" i="2" a="1"/>
  <c r="Q138" i="2" s="1"/>
  <c r="R137" i="2"/>
  <c r="Q137" i="2" a="1"/>
  <c r="Q137" i="2" s="1"/>
  <c r="P137" i="2"/>
  <c r="V136" i="2"/>
  <c r="J240" i="2"/>
  <c r="H240" i="2"/>
  <c r="J239" i="2"/>
  <c r="H239" i="2"/>
  <c r="J238" i="2"/>
  <c r="H238" i="2"/>
  <c r="J237" i="2"/>
  <c r="H237" i="2"/>
  <c r="J236" i="2"/>
  <c r="H236" i="2"/>
  <c r="J235" i="2"/>
  <c r="H235" i="2"/>
  <c r="J229" i="2"/>
  <c r="H229" i="2"/>
  <c r="J228" i="2"/>
  <c r="H228" i="2"/>
  <c r="J227" i="2"/>
  <c r="H227" i="2"/>
  <c r="J226" i="2"/>
  <c r="H226" i="2"/>
  <c r="J225" i="2"/>
  <c r="H225" i="2"/>
  <c r="J224" i="2"/>
  <c r="H224" i="2"/>
  <c r="J218" i="2"/>
  <c r="H218" i="2"/>
  <c r="J217" i="2"/>
  <c r="H217" i="2"/>
  <c r="J216" i="2"/>
  <c r="H216" i="2"/>
  <c r="J215" i="2"/>
  <c r="H215" i="2"/>
  <c r="J214" i="2"/>
  <c r="H214" i="2"/>
  <c r="J213" i="2"/>
  <c r="H213" i="2"/>
  <c r="J207" i="2"/>
  <c r="H207" i="2"/>
  <c r="J206" i="2"/>
  <c r="H206" i="2"/>
  <c r="J205" i="2"/>
  <c r="H205" i="2"/>
  <c r="J204" i="2"/>
  <c r="H204" i="2"/>
  <c r="J203" i="2"/>
  <c r="H203" i="2"/>
  <c r="J202" i="2"/>
  <c r="H202" i="2"/>
  <c r="J196" i="2"/>
  <c r="H196" i="2"/>
  <c r="J195" i="2"/>
  <c r="H195" i="2"/>
  <c r="J194" i="2"/>
  <c r="H194" i="2"/>
  <c r="J193" i="2"/>
  <c r="H193" i="2"/>
  <c r="J192" i="2"/>
  <c r="H192" i="2"/>
  <c r="J191" i="2"/>
  <c r="H191" i="2"/>
  <c r="J185" i="2"/>
  <c r="H185" i="2"/>
  <c r="J184" i="2"/>
  <c r="H184" i="2"/>
  <c r="J183" i="2"/>
  <c r="H183" i="2"/>
  <c r="J182" i="2"/>
  <c r="H182" i="2"/>
  <c r="J181" i="2"/>
  <c r="H181" i="2"/>
  <c r="J180" i="2"/>
  <c r="H180" i="2"/>
  <c r="J174" i="2"/>
  <c r="H174" i="2"/>
  <c r="J173" i="2"/>
  <c r="H173" i="2"/>
  <c r="J172" i="2"/>
  <c r="H172" i="2"/>
  <c r="J171" i="2"/>
  <c r="H171" i="2"/>
  <c r="J170" i="2"/>
  <c r="H170" i="2"/>
  <c r="J169" i="2"/>
  <c r="H169" i="2"/>
  <c r="J163" i="2"/>
  <c r="H163" i="2"/>
  <c r="J162" i="2"/>
  <c r="H162" i="2"/>
  <c r="J161" i="2"/>
  <c r="H161" i="2"/>
  <c r="J160" i="2"/>
  <c r="H160" i="2"/>
  <c r="J159" i="2"/>
  <c r="H159" i="2"/>
  <c r="J158" i="2"/>
  <c r="H158" i="2"/>
  <c r="J152" i="2"/>
  <c r="H152" i="2"/>
  <c r="J151" i="2"/>
  <c r="H151" i="2"/>
  <c r="J150" i="2"/>
  <c r="H150" i="2"/>
  <c r="J149" i="2"/>
  <c r="H149" i="2"/>
  <c r="J148" i="2"/>
  <c r="H148" i="2"/>
  <c r="J147" i="2"/>
  <c r="H147" i="2"/>
  <c r="J141" i="2"/>
  <c r="H141" i="2"/>
  <c r="J140" i="2"/>
  <c r="H140" i="2"/>
  <c r="J139" i="2"/>
  <c r="H139" i="2"/>
  <c r="J138" i="2"/>
  <c r="H138" i="2"/>
  <c r="J137" i="2"/>
  <c r="K137" i="2" s="1"/>
  <c r="H137" i="2"/>
  <c r="I137" i="2" s="1"/>
  <c r="J136" i="2"/>
  <c r="H136" i="2"/>
  <c r="R118" i="2"/>
  <c r="P118" i="2" s="1"/>
  <c r="Q118" i="2" a="1"/>
  <c r="Q118" i="2" s="1"/>
  <c r="J118" i="2"/>
  <c r="H118" i="2"/>
  <c r="R117" i="2"/>
  <c r="P117" i="2" s="1"/>
  <c r="Q117" i="2" a="1"/>
  <c r="Q117" i="2" s="1"/>
  <c r="J117" i="2"/>
  <c r="H117" i="2"/>
  <c r="R116" i="2"/>
  <c r="P116" i="2" s="1"/>
  <c r="Q116" i="2" a="1"/>
  <c r="Q116" i="2" s="1"/>
  <c r="J116" i="2"/>
  <c r="H116" i="2"/>
  <c r="R115" i="2"/>
  <c r="P115" i="2" s="1"/>
  <c r="Q115" i="2" a="1"/>
  <c r="Q115" i="2" s="1"/>
  <c r="J115" i="2"/>
  <c r="H115" i="2"/>
  <c r="R114" i="2"/>
  <c r="P114" i="2" s="1"/>
  <c r="Q114" i="2" a="1"/>
  <c r="Q114" i="2" s="1"/>
  <c r="J114" i="2"/>
  <c r="H114" i="2"/>
  <c r="V113" i="2"/>
  <c r="R113" i="2"/>
  <c r="P113" i="2" s="1"/>
  <c r="Q113" i="2" a="1"/>
  <c r="Q113" i="2" s="1"/>
  <c r="J113" i="2"/>
  <c r="H113" i="2"/>
  <c r="R107" i="2"/>
  <c r="P107" i="2" s="1"/>
  <c r="Q107" i="2" a="1"/>
  <c r="Q107" i="2" s="1"/>
  <c r="J107" i="2"/>
  <c r="H107" i="2"/>
  <c r="R106" i="2"/>
  <c r="P106" i="2" s="1"/>
  <c r="Q106" i="2" a="1"/>
  <c r="Q106" i="2" s="1"/>
  <c r="J106" i="2"/>
  <c r="H106" i="2"/>
  <c r="R105" i="2"/>
  <c r="P105" i="2" s="1"/>
  <c r="Q105" i="2" a="1"/>
  <c r="Q105" i="2" s="1"/>
  <c r="J105" i="2"/>
  <c r="H105" i="2"/>
  <c r="R104" i="2"/>
  <c r="P104" i="2" s="1"/>
  <c r="Q104" i="2" a="1"/>
  <c r="Q104" i="2" s="1"/>
  <c r="J104" i="2"/>
  <c r="H104" i="2"/>
  <c r="R103" i="2"/>
  <c r="P103" i="2" s="1"/>
  <c r="Q103" i="2" a="1"/>
  <c r="Q103" i="2" s="1"/>
  <c r="J103" i="2"/>
  <c r="H103" i="2"/>
  <c r="V102" i="2"/>
  <c r="R102" i="2"/>
  <c r="P102" i="2" s="1"/>
  <c r="Q102" i="2" a="1"/>
  <c r="Q102" i="2" s="1"/>
  <c r="J102" i="2"/>
  <c r="H102" i="2"/>
  <c r="R96" i="2"/>
  <c r="P96" i="2" s="1"/>
  <c r="Q96" i="2" a="1"/>
  <c r="Q96" i="2" s="1"/>
  <c r="J96" i="2"/>
  <c r="H96" i="2"/>
  <c r="R95" i="2"/>
  <c r="P95" i="2" s="1"/>
  <c r="Q95" i="2" a="1"/>
  <c r="Q95" i="2" s="1"/>
  <c r="J95" i="2"/>
  <c r="H95" i="2"/>
  <c r="R94" i="2"/>
  <c r="P94" i="2" s="1"/>
  <c r="Q94" i="2" a="1"/>
  <c r="Q94" i="2" s="1"/>
  <c r="J94" i="2"/>
  <c r="H94" i="2"/>
  <c r="R93" i="2"/>
  <c r="P93" i="2" s="1"/>
  <c r="Q93" i="2" a="1"/>
  <c r="Q93" i="2" s="1"/>
  <c r="J93" i="2"/>
  <c r="H93" i="2"/>
  <c r="R92" i="2"/>
  <c r="P92" i="2" s="1"/>
  <c r="Q92" i="2" a="1"/>
  <c r="Q92" i="2" s="1"/>
  <c r="J92" i="2"/>
  <c r="H92" i="2"/>
  <c r="V91" i="2"/>
  <c r="R91" i="2"/>
  <c r="P91" i="2" s="1"/>
  <c r="Q91" i="2" a="1"/>
  <c r="Q91" i="2" s="1"/>
  <c r="J91" i="2"/>
  <c r="H91" i="2"/>
  <c r="R85" i="2"/>
  <c r="P85" i="2" s="1"/>
  <c r="Q85" i="2" a="1"/>
  <c r="Q85" i="2" s="1"/>
  <c r="J85" i="2"/>
  <c r="H85" i="2"/>
  <c r="R84" i="2"/>
  <c r="P84" i="2" s="1"/>
  <c r="Q84" i="2" a="1"/>
  <c r="Q84" i="2" s="1"/>
  <c r="J84" i="2"/>
  <c r="H84" i="2"/>
  <c r="R83" i="2"/>
  <c r="P83" i="2" s="1"/>
  <c r="Q83" i="2" a="1"/>
  <c r="Q83" i="2" s="1"/>
  <c r="J83" i="2"/>
  <c r="H83" i="2"/>
  <c r="R82" i="2"/>
  <c r="P82" i="2" s="1"/>
  <c r="Q82" i="2" a="1"/>
  <c r="Q82" i="2" s="1"/>
  <c r="J82" i="2"/>
  <c r="H82" i="2"/>
  <c r="R81" i="2"/>
  <c r="P81" i="2" s="1"/>
  <c r="Q81" i="2" a="1"/>
  <c r="Q81" i="2" s="1"/>
  <c r="J81" i="2"/>
  <c r="H81" i="2"/>
  <c r="V80" i="2"/>
  <c r="R80" i="2"/>
  <c r="P80" i="2" s="1"/>
  <c r="Q80" i="2" a="1"/>
  <c r="Q80" i="2" s="1"/>
  <c r="J80" i="2"/>
  <c r="H80" i="2"/>
  <c r="R74" i="2"/>
  <c r="P74" i="2" s="1"/>
  <c r="Q74" i="2" a="1"/>
  <c r="Q74" i="2" s="1"/>
  <c r="J74" i="2"/>
  <c r="H74" i="2"/>
  <c r="R73" i="2"/>
  <c r="P73" i="2" s="1"/>
  <c r="Q73" i="2" a="1"/>
  <c r="Q73" i="2" s="1"/>
  <c r="J73" i="2"/>
  <c r="H73" i="2"/>
  <c r="R72" i="2"/>
  <c r="P72" i="2" s="1"/>
  <c r="Q72" i="2" a="1"/>
  <c r="Q72" i="2" s="1"/>
  <c r="J72" i="2"/>
  <c r="H72" i="2"/>
  <c r="R71" i="2"/>
  <c r="P71" i="2" s="1"/>
  <c r="Q71" i="2" a="1"/>
  <c r="Q71" i="2" s="1"/>
  <c r="J71" i="2"/>
  <c r="H71" i="2"/>
  <c r="I71" i="2" s="1"/>
  <c r="R70" i="2"/>
  <c r="P70" i="2" s="1"/>
  <c r="Q70" i="2" a="1"/>
  <c r="Q70" i="2" s="1"/>
  <c r="J70" i="2"/>
  <c r="H70" i="2"/>
  <c r="V69" i="2"/>
  <c r="R69" i="2"/>
  <c r="P69" i="2" s="1"/>
  <c r="Q69" i="2" a="1"/>
  <c r="Q69" i="2" s="1"/>
  <c r="J69" i="2"/>
  <c r="H69" i="2"/>
  <c r="R63" i="2"/>
  <c r="P63" i="2" s="1"/>
  <c r="Q63" i="2" a="1"/>
  <c r="Q63" i="2" s="1"/>
  <c r="J63" i="2"/>
  <c r="H63" i="2"/>
  <c r="R62" i="2"/>
  <c r="P62" i="2" s="1"/>
  <c r="Q62" i="2" a="1"/>
  <c r="Q62" i="2" s="1"/>
  <c r="J62" i="2"/>
  <c r="H62" i="2"/>
  <c r="R61" i="2"/>
  <c r="P61" i="2" s="1"/>
  <c r="Q61" i="2" a="1"/>
  <c r="Q61" i="2" s="1"/>
  <c r="J61" i="2"/>
  <c r="H61" i="2"/>
  <c r="R60" i="2"/>
  <c r="P60" i="2" s="1"/>
  <c r="Q60" i="2" a="1"/>
  <c r="Q60" i="2" s="1"/>
  <c r="J60" i="2"/>
  <c r="H60" i="2"/>
  <c r="R59" i="2"/>
  <c r="P59" i="2" s="1"/>
  <c r="Q59" i="2" a="1"/>
  <c r="Q59" i="2" s="1"/>
  <c r="J59" i="2"/>
  <c r="H59" i="2"/>
  <c r="V58" i="2"/>
  <c r="R58" i="2"/>
  <c r="P58" i="2" s="1"/>
  <c r="Q58" i="2" a="1"/>
  <c r="Q58" i="2" s="1"/>
  <c r="J58" i="2"/>
  <c r="H58" i="2"/>
  <c r="R52" i="2"/>
  <c r="P52" i="2" s="1"/>
  <c r="Q52" i="2" a="1"/>
  <c r="Q52" i="2" s="1"/>
  <c r="J52" i="2"/>
  <c r="K52" i="2" s="1"/>
  <c r="H52" i="2"/>
  <c r="R51" i="2"/>
  <c r="P51" i="2" s="1"/>
  <c r="Q51" i="2" a="1"/>
  <c r="Q51" i="2" s="1"/>
  <c r="J51" i="2"/>
  <c r="H51" i="2"/>
  <c r="R50" i="2"/>
  <c r="P50" i="2" s="1"/>
  <c r="Q50" i="2" a="1"/>
  <c r="Q50" i="2" s="1"/>
  <c r="J50" i="2"/>
  <c r="H50" i="2"/>
  <c r="R49" i="2"/>
  <c r="P49" i="2" s="1"/>
  <c r="Q49" i="2" a="1"/>
  <c r="Q49" i="2" s="1"/>
  <c r="J49" i="2"/>
  <c r="H49" i="2"/>
  <c r="R48" i="2"/>
  <c r="Q48" i="2" a="1"/>
  <c r="Q48" i="2" s="1"/>
  <c r="P48" i="2"/>
  <c r="J48" i="2"/>
  <c r="H48" i="2"/>
  <c r="V47" i="2"/>
  <c r="R47" i="2"/>
  <c r="P47" i="2" s="1"/>
  <c r="Q47" i="2" a="1"/>
  <c r="Q47" i="2" s="1"/>
  <c r="J47" i="2"/>
  <c r="H47" i="2"/>
  <c r="R41" i="2"/>
  <c r="P41" i="2" s="1"/>
  <c r="Q41" i="2" a="1"/>
  <c r="Q41" i="2" s="1"/>
  <c r="J41" i="2"/>
  <c r="H41" i="2"/>
  <c r="R40" i="2"/>
  <c r="P40" i="2" s="1"/>
  <c r="Q40" i="2" a="1"/>
  <c r="Q40" i="2" s="1"/>
  <c r="J40" i="2"/>
  <c r="H40" i="2"/>
  <c r="R39" i="2"/>
  <c r="P39" i="2" s="1"/>
  <c r="Q39" i="2" a="1"/>
  <c r="Q39" i="2" s="1"/>
  <c r="J39" i="2"/>
  <c r="H39" i="2"/>
  <c r="R38" i="2"/>
  <c r="P38" i="2" s="1"/>
  <c r="Q38" i="2" a="1"/>
  <c r="Q38" i="2" s="1"/>
  <c r="J38" i="2"/>
  <c r="H38" i="2"/>
  <c r="R37" i="2"/>
  <c r="P37" i="2" s="1"/>
  <c r="Q37" i="2" a="1"/>
  <c r="Q37" i="2" s="1"/>
  <c r="J37" i="2"/>
  <c r="H37" i="2"/>
  <c r="V36" i="2"/>
  <c r="R36" i="2"/>
  <c r="P36" i="2" s="1"/>
  <c r="Q36" i="2" a="1"/>
  <c r="Q36" i="2" s="1"/>
  <c r="J36" i="2"/>
  <c r="H36" i="2"/>
  <c r="R30" i="2"/>
  <c r="P30" i="2" s="1"/>
  <c r="Q30" i="2" a="1"/>
  <c r="Q30" i="2" s="1"/>
  <c r="J30" i="2"/>
  <c r="H30" i="2"/>
  <c r="R29" i="2"/>
  <c r="P29" i="2" s="1"/>
  <c r="Q29" i="2" a="1"/>
  <c r="Q29" i="2" s="1"/>
  <c r="J29" i="2"/>
  <c r="H29" i="2"/>
  <c r="R28" i="2"/>
  <c r="P28" i="2" s="1"/>
  <c r="Q28" i="2" a="1"/>
  <c r="Q28" i="2" s="1"/>
  <c r="J28" i="2"/>
  <c r="H28" i="2"/>
  <c r="R27" i="2"/>
  <c r="P27" i="2" s="1"/>
  <c r="Q27" i="2" a="1"/>
  <c r="Q27" i="2" s="1"/>
  <c r="J27" i="2"/>
  <c r="H27" i="2"/>
  <c r="R26" i="2"/>
  <c r="P26" i="2" s="1"/>
  <c r="Q26" i="2" a="1"/>
  <c r="Q26" i="2" s="1"/>
  <c r="J26" i="2"/>
  <c r="H26" i="2"/>
  <c r="V25" i="2"/>
  <c r="R25" i="2"/>
  <c r="P25" i="2" s="1"/>
  <c r="Q25" i="2" a="1"/>
  <c r="Q25" i="2" s="1"/>
  <c r="J25" i="2"/>
  <c r="H25" i="2"/>
  <c r="V14" i="2"/>
  <c r="K69" i="2" l="1"/>
  <c r="I70" i="13"/>
  <c r="I217" i="14"/>
  <c r="I192" i="14"/>
  <c r="I196" i="14"/>
  <c r="I163" i="14"/>
  <c r="K235" i="14"/>
  <c r="I171" i="14"/>
  <c r="K180" i="14"/>
  <c r="K213" i="14"/>
  <c r="I147" i="14"/>
  <c r="K172" i="14"/>
  <c r="K226" i="14"/>
  <c r="I194" i="14"/>
  <c r="K170" i="14"/>
  <c r="I216" i="14"/>
  <c r="I137" i="14"/>
  <c r="K158" i="14"/>
  <c r="I151" i="13"/>
  <c r="I240" i="13"/>
  <c r="K151" i="13"/>
  <c r="I148" i="13"/>
  <c r="K182" i="13"/>
  <c r="K214" i="13"/>
  <c r="I181" i="13"/>
  <c r="I173" i="15"/>
  <c r="I71" i="15"/>
  <c r="I72" i="15"/>
  <c r="I171" i="15"/>
  <c r="K70" i="15"/>
  <c r="I74" i="15"/>
  <c r="K14" i="14"/>
  <c r="K26" i="14"/>
  <c r="K51" i="14"/>
  <c r="I93" i="14"/>
  <c r="K106" i="14"/>
  <c r="I204" i="14"/>
  <c r="K217" i="14"/>
  <c r="K238" i="14"/>
  <c r="I48" i="14"/>
  <c r="K50" i="14"/>
  <c r="I85" i="14"/>
  <c r="I92" i="14"/>
  <c r="K105" i="14"/>
  <c r="I238" i="14"/>
  <c r="I40" i="14"/>
  <c r="I58" i="14"/>
  <c r="K49" i="14"/>
  <c r="I141" i="14"/>
  <c r="I182" i="14"/>
  <c r="I185" i="14"/>
  <c r="I39" i="14"/>
  <c r="I83" i="14"/>
  <c r="K96" i="14"/>
  <c r="K103" i="14"/>
  <c r="K141" i="14"/>
  <c r="K182" i="14"/>
  <c r="K185" i="14"/>
  <c r="K15" i="14"/>
  <c r="I38" i="14"/>
  <c r="I82" i="14"/>
  <c r="K95" i="14"/>
  <c r="I113" i="14"/>
  <c r="I161" i="14"/>
  <c r="I202" i="14"/>
  <c r="I239" i="14"/>
  <c r="I25" i="14"/>
  <c r="I37" i="14"/>
  <c r="I81" i="14"/>
  <c r="K94" i="14"/>
  <c r="I174" i="14"/>
  <c r="K202" i="14"/>
  <c r="K239" i="14"/>
  <c r="K118" i="14"/>
  <c r="K206" i="14"/>
  <c r="K70" i="14"/>
  <c r="I29" i="14"/>
  <c r="I59" i="14"/>
  <c r="I72" i="14"/>
  <c r="K92" i="14"/>
  <c r="I94" i="14"/>
  <c r="K39" i="14"/>
  <c r="I71" i="14"/>
  <c r="K194" i="14"/>
  <c r="K224" i="14"/>
  <c r="I14" i="14"/>
  <c r="K38" i="14"/>
  <c r="K63" i="14"/>
  <c r="I70" i="14"/>
  <c r="K83" i="14"/>
  <c r="K240" i="14"/>
  <c r="I19" i="14"/>
  <c r="I26" i="14"/>
  <c r="K37" i="14"/>
  <c r="K62" i="14"/>
  <c r="K69" i="14"/>
  <c r="K82" i="14"/>
  <c r="K114" i="14"/>
  <c r="I151" i="14"/>
  <c r="K163" i="14"/>
  <c r="I18" i="14"/>
  <c r="K25" i="14"/>
  <c r="K61" i="14"/>
  <c r="K81" i="14"/>
  <c r="I118" i="14"/>
  <c r="I17" i="14"/>
  <c r="K30" i="14"/>
  <c r="K60" i="14"/>
  <c r="I117" i="14"/>
  <c r="K159" i="14"/>
  <c r="K216" i="14"/>
  <c r="K228" i="14"/>
  <c r="I16" i="14"/>
  <c r="K29" i="14"/>
  <c r="K59" i="14"/>
  <c r="K72" i="14"/>
  <c r="I184" i="14"/>
  <c r="I15" i="14"/>
  <c r="I51" i="14"/>
  <c r="K71" i="14"/>
  <c r="K102" i="14"/>
  <c r="K184" i="14"/>
  <c r="I213" i="14"/>
  <c r="I191" i="14"/>
  <c r="K196" i="14"/>
  <c r="I214" i="14"/>
  <c r="K149" i="14"/>
  <c r="I149" i="14"/>
  <c r="I73" i="14"/>
  <c r="I27" i="14"/>
  <c r="K139" i="14"/>
  <c r="I180" i="14"/>
  <c r="K73" i="14"/>
  <c r="K203" i="14"/>
  <c r="I203" i="14"/>
  <c r="K58" i="14"/>
  <c r="K138" i="14"/>
  <c r="K173" i="14"/>
  <c r="K191" i="14"/>
  <c r="I36" i="14"/>
  <c r="K74" i="14"/>
  <c r="K148" i="14"/>
  <c r="I47" i="14"/>
  <c r="I91" i="14"/>
  <c r="K151" i="14"/>
  <c r="I181" i="14"/>
  <c r="K205" i="14"/>
  <c r="I28" i="14"/>
  <c r="K19" i="14"/>
  <c r="I52" i="14"/>
  <c r="I139" i="14"/>
  <c r="I195" i="14"/>
  <c r="K18" i="14"/>
  <c r="K195" i="14"/>
  <c r="K52" i="14"/>
  <c r="I160" i="14"/>
  <c r="K171" i="14"/>
  <c r="I80" i="14"/>
  <c r="K36" i="14"/>
  <c r="I152" i="14"/>
  <c r="I193" i="14"/>
  <c r="K225" i="14"/>
  <c r="I41" i="14"/>
  <c r="K152" i="14"/>
  <c r="K193" i="14"/>
  <c r="K91" i="14"/>
  <c r="K137" i="14"/>
  <c r="K147" i="14"/>
  <c r="I150" i="14"/>
  <c r="I240" i="14"/>
  <c r="I69" i="14"/>
  <c r="I140" i="14"/>
  <c r="K150" i="14"/>
  <c r="K161" i="14"/>
  <c r="K169" i="14"/>
  <c r="I183" i="14"/>
  <c r="I218" i="14"/>
  <c r="K229" i="14"/>
  <c r="I74" i="14"/>
  <c r="K140" i="14"/>
  <c r="K183" i="14"/>
  <c r="K218" i="14"/>
  <c r="K41" i="14"/>
  <c r="K80" i="14"/>
  <c r="I158" i="14"/>
  <c r="I136" i="14"/>
  <c r="I138" i="14"/>
  <c r="K204" i="14"/>
  <c r="K228" i="13"/>
  <c r="K216" i="13"/>
  <c r="I193" i="13"/>
  <c r="K193" i="13"/>
  <c r="I185" i="13"/>
  <c r="K185" i="13"/>
  <c r="K183" i="13"/>
  <c r="K174" i="13"/>
  <c r="K152" i="13"/>
  <c r="I140" i="13"/>
  <c r="K116" i="13"/>
  <c r="K92" i="13"/>
  <c r="I92" i="13"/>
  <c r="K61" i="13"/>
  <c r="I40" i="13"/>
  <c r="K40" i="13"/>
  <c r="K39" i="13"/>
  <c r="I28" i="13"/>
  <c r="I17" i="13"/>
  <c r="K17" i="13"/>
  <c r="I139" i="13"/>
  <c r="K139" i="13"/>
  <c r="I141" i="13"/>
  <c r="I160" i="13"/>
  <c r="K196" i="13"/>
  <c r="I227" i="13"/>
  <c r="K28" i="13"/>
  <c r="I39" i="13"/>
  <c r="I61" i="13"/>
  <c r="K141" i="13"/>
  <c r="K163" i="13"/>
  <c r="I205" i="13"/>
  <c r="I216" i="13"/>
  <c r="I224" i="13"/>
  <c r="K227" i="13"/>
  <c r="I136" i="13"/>
  <c r="I94" i="13"/>
  <c r="K47" i="13"/>
  <c r="K72" i="13"/>
  <c r="K83" i="13"/>
  <c r="K94" i="13"/>
  <c r="I150" i="13"/>
  <c r="K172" i="13"/>
  <c r="I236" i="13"/>
  <c r="K150" i="13"/>
  <c r="I183" i="13"/>
  <c r="I228" i="13"/>
  <c r="K236" i="13"/>
  <c r="I47" i="13"/>
  <c r="I83" i="13"/>
  <c r="I29" i="13"/>
  <c r="I37" i="13"/>
  <c r="I214" i="13"/>
  <c r="I18" i="13"/>
  <c r="K29" i="13"/>
  <c r="K37" i="13"/>
  <c r="I62" i="13"/>
  <c r="I117" i="13"/>
  <c r="I206" i="13"/>
  <c r="K217" i="13"/>
  <c r="K18" i="13"/>
  <c r="I51" i="13"/>
  <c r="I59" i="13"/>
  <c r="K62" i="13"/>
  <c r="I73" i="13"/>
  <c r="I106" i="13"/>
  <c r="K117" i="13"/>
  <c r="I137" i="13"/>
  <c r="K180" i="13"/>
  <c r="K191" i="13"/>
  <c r="K51" i="13"/>
  <c r="K73" i="13"/>
  <c r="I84" i="13"/>
  <c r="K137" i="13"/>
  <c r="I173" i="13"/>
  <c r="I72" i="13"/>
  <c r="I162" i="13"/>
  <c r="I184" i="13"/>
  <c r="I229" i="13"/>
  <c r="I38" i="13"/>
  <c r="K140" i="13"/>
  <c r="K181" i="13"/>
  <c r="K184" i="13"/>
  <c r="K195" i="13"/>
  <c r="I207" i="13"/>
  <c r="I226" i="13"/>
  <c r="K229" i="13"/>
  <c r="I30" i="13"/>
  <c r="I16" i="13"/>
  <c r="K30" i="13"/>
  <c r="K38" i="13"/>
  <c r="I60" i="13"/>
  <c r="I63" i="13"/>
  <c r="I115" i="13"/>
  <c r="K148" i="13"/>
  <c r="K215" i="13"/>
  <c r="K226" i="13"/>
  <c r="K16" i="13"/>
  <c r="I19" i="13"/>
  <c r="I41" i="13"/>
  <c r="I49" i="13"/>
  <c r="K60" i="13"/>
  <c r="K63" i="13"/>
  <c r="I71" i="13"/>
  <c r="I82" i="13"/>
  <c r="K115" i="13"/>
  <c r="K118" i="13"/>
  <c r="I138" i="13"/>
  <c r="I204" i="13"/>
  <c r="K218" i="13"/>
  <c r="K19" i="13"/>
  <c r="K41" i="13"/>
  <c r="K49" i="13"/>
  <c r="K71" i="13"/>
  <c r="I74" i="13"/>
  <c r="I93" i="13"/>
  <c r="I96" i="13"/>
  <c r="I104" i="13"/>
  <c r="I107" i="13"/>
  <c r="K138" i="13"/>
  <c r="I171" i="13"/>
  <c r="I238" i="13"/>
  <c r="K74" i="13"/>
  <c r="I85" i="13"/>
  <c r="K96" i="13"/>
  <c r="K104" i="13"/>
  <c r="K107" i="13"/>
  <c r="I149" i="13"/>
  <c r="I152" i="13"/>
  <c r="K171" i="13"/>
  <c r="I182" i="13"/>
  <c r="I196" i="13"/>
  <c r="I235" i="15"/>
  <c r="K235" i="15"/>
  <c r="I236" i="15"/>
  <c r="K203" i="15"/>
  <c r="I202" i="15"/>
  <c r="I169" i="15"/>
  <c r="K169" i="15"/>
  <c r="I140" i="15"/>
  <c r="K140" i="15"/>
  <c r="I137" i="15"/>
  <c r="I113" i="15"/>
  <c r="K113" i="15"/>
  <c r="K103" i="15"/>
  <c r="I91" i="15"/>
  <c r="K63" i="15"/>
  <c r="I52" i="15"/>
  <c r="K52" i="15"/>
  <c r="I41" i="15"/>
  <c r="K41" i="15"/>
  <c r="K30" i="15"/>
  <c r="I29" i="15"/>
  <c r="K29" i="15"/>
  <c r="K18" i="15"/>
  <c r="K161" i="15"/>
  <c r="I161" i="15"/>
  <c r="K40" i="15"/>
  <c r="I51" i="15"/>
  <c r="I103" i="15"/>
  <c r="K114" i="15"/>
  <c r="K137" i="15"/>
  <c r="K193" i="15"/>
  <c r="K202" i="15"/>
  <c r="I16" i="15"/>
  <c r="K51" i="15"/>
  <c r="K16" i="15"/>
  <c r="I27" i="15"/>
  <c r="I70" i="15"/>
  <c r="I152" i="15"/>
  <c r="K163" i="15"/>
  <c r="K224" i="15"/>
  <c r="I163" i="15"/>
  <c r="I19" i="15"/>
  <c r="K27" i="15"/>
  <c r="I38" i="15"/>
  <c r="I107" i="15"/>
  <c r="I224" i="15"/>
  <c r="K19" i="15"/>
  <c r="I30" i="15"/>
  <c r="K38" i="15"/>
  <c r="I49" i="15"/>
  <c r="I81" i="15"/>
  <c r="I84" i="15"/>
  <c r="K107" i="15"/>
  <c r="K49" i="15"/>
  <c r="K81" i="15"/>
  <c r="K84" i="15"/>
  <c r="I206" i="15"/>
  <c r="K236" i="15"/>
  <c r="I17" i="15"/>
  <c r="I63" i="15"/>
  <c r="I115" i="15"/>
  <c r="I180" i="15"/>
  <c r="I225" i="15"/>
  <c r="K17" i="15"/>
  <c r="I28" i="15"/>
  <c r="K180" i="15"/>
  <c r="I214" i="15"/>
  <c r="K225" i="15"/>
  <c r="K80" i="15"/>
  <c r="K28" i="15"/>
  <c r="I39" i="15"/>
  <c r="K71" i="15"/>
  <c r="I105" i="15"/>
  <c r="I136" i="15"/>
  <c r="I192" i="15"/>
  <c r="K214" i="15"/>
  <c r="K39" i="15"/>
  <c r="I50" i="15"/>
  <c r="I82" i="15"/>
  <c r="K105" i="15"/>
  <c r="K136" i="15"/>
  <c r="I147" i="15"/>
  <c r="H153" i="15" s="1" a="1"/>
  <c r="H153" i="15" s="1"/>
  <c r="I150" i="15"/>
  <c r="K192" i="15"/>
  <c r="K50" i="15"/>
  <c r="I61" i="15"/>
  <c r="K147" i="15"/>
  <c r="J153" i="15" s="1" a="1"/>
  <c r="J153" i="15" s="1"/>
  <c r="K61" i="15"/>
  <c r="I204" i="15"/>
  <c r="I18" i="15"/>
  <c r="K159" i="15"/>
  <c r="I162" i="15"/>
  <c r="I170" i="15"/>
  <c r="K204" i="15"/>
  <c r="I207" i="15"/>
  <c r="K72" i="15"/>
  <c r="I80" i="15"/>
  <c r="I94" i="15"/>
  <c r="K170" i="15"/>
  <c r="I181" i="15"/>
  <c r="I214" i="2"/>
  <c r="K214" i="2"/>
  <c r="I202" i="2"/>
  <c r="I229" i="2"/>
  <c r="K229" i="2"/>
  <c r="K202" i="2"/>
  <c r="I160" i="2"/>
  <c r="K160" i="2"/>
  <c r="I236" i="2"/>
  <c r="K236" i="2"/>
  <c r="I207" i="2"/>
  <c r="I73" i="2"/>
  <c r="K207" i="2"/>
  <c r="I169" i="2"/>
  <c r="I239" i="2"/>
  <c r="I52" i="2"/>
  <c r="K169" i="2"/>
  <c r="K239" i="2"/>
  <c r="I58" i="2"/>
  <c r="K74" i="2"/>
  <c r="K227" i="2"/>
  <c r="K240" i="2"/>
  <c r="I184" i="2"/>
  <c r="K184" i="2"/>
  <c r="I191" i="2"/>
  <c r="I217" i="2"/>
  <c r="K93" i="2"/>
  <c r="K191" i="2"/>
  <c r="K217" i="2"/>
  <c r="I148" i="2"/>
  <c r="K26" i="2"/>
  <c r="I51" i="2"/>
  <c r="K148" i="2"/>
  <c r="I193" i="2"/>
  <c r="K193" i="2"/>
  <c r="I181" i="2"/>
  <c r="I194" i="2"/>
  <c r="I238" i="2"/>
  <c r="K181" i="2"/>
  <c r="K238" i="2"/>
  <c r="I182" i="2"/>
  <c r="I70" i="2"/>
  <c r="K182" i="2"/>
  <c r="I116" i="2"/>
  <c r="I227" i="2"/>
  <c r="I240" i="2"/>
  <c r="K94" i="2"/>
  <c r="I174" i="2"/>
  <c r="I205" i="2"/>
  <c r="K28" i="2"/>
  <c r="K73" i="2"/>
  <c r="I82" i="2"/>
  <c r="I91" i="2"/>
  <c r="I103" i="2"/>
  <c r="K115" i="2"/>
  <c r="K174" i="2"/>
  <c r="K205" i="2"/>
  <c r="K173" i="2"/>
  <c r="I149" i="2"/>
  <c r="K82" i="2"/>
  <c r="K70" i="2"/>
  <c r="K149" i="2"/>
  <c r="I28" i="2"/>
  <c r="I40" i="2"/>
  <c r="I104" i="2"/>
  <c r="I195" i="2"/>
  <c r="I226" i="2"/>
  <c r="K50" i="2"/>
  <c r="K92" i="2"/>
  <c r="K104" i="2"/>
  <c r="K195" i="2"/>
  <c r="K226" i="2"/>
  <c r="K71" i="2"/>
  <c r="I152" i="2"/>
  <c r="I170" i="2"/>
  <c r="K218" i="2"/>
  <c r="I30" i="2"/>
  <c r="K30" i="2"/>
  <c r="I84" i="2"/>
  <c r="K152" i="2"/>
  <c r="I158" i="2"/>
  <c r="H164" i="2" s="1" a="1"/>
  <c r="H164" i="2" s="1"/>
  <c r="K224" i="2"/>
  <c r="K170" i="2"/>
  <c r="K158" i="2"/>
  <c r="I235" i="2"/>
  <c r="I61" i="2"/>
  <c r="I81" i="2"/>
  <c r="I141" i="2"/>
  <c r="I48" i="2"/>
  <c r="K81" i="2"/>
  <c r="K102" i="2"/>
  <c r="K141" i="2"/>
  <c r="K172" i="2"/>
  <c r="K203" i="2"/>
  <c r="I172" i="2"/>
  <c r="I203" i="2"/>
  <c r="K36" i="2"/>
  <c r="K48" i="2"/>
  <c r="I173" i="2"/>
  <c r="K147" i="13"/>
  <c r="K170" i="13"/>
  <c r="K235" i="13"/>
  <c r="K159" i="2"/>
  <c r="K185" i="2"/>
  <c r="K136" i="13"/>
  <c r="I183" i="15"/>
  <c r="I151" i="2"/>
  <c r="K162" i="13"/>
  <c r="I191" i="13"/>
  <c r="I217" i="13"/>
  <c r="I213" i="15"/>
  <c r="I216" i="15"/>
  <c r="K191" i="15"/>
  <c r="K205" i="15"/>
  <c r="I203" i="15"/>
  <c r="K62" i="15"/>
  <c r="K113" i="2"/>
  <c r="I118" i="13"/>
  <c r="K69" i="13"/>
  <c r="K80" i="13"/>
  <c r="I116" i="13"/>
  <c r="K207" i="13"/>
  <c r="I215" i="13"/>
  <c r="K80" i="2"/>
  <c r="I237" i="2"/>
  <c r="K203" i="13"/>
  <c r="K225" i="13"/>
  <c r="I39" i="2"/>
  <c r="I105" i="2"/>
  <c r="I161" i="2"/>
  <c r="K228" i="2"/>
  <c r="K73" i="15"/>
  <c r="I83" i="15"/>
  <c r="I228" i="15"/>
  <c r="K160" i="13"/>
  <c r="I174" i="13"/>
  <c r="I218" i="13"/>
  <c r="K106" i="15"/>
  <c r="I114" i="15"/>
  <c r="I117" i="15"/>
  <c r="K162" i="15"/>
  <c r="K59" i="13"/>
  <c r="K106" i="13"/>
  <c r="K205" i="13"/>
  <c r="I218" i="15"/>
  <c r="K104" i="15"/>
  <c r="K224" i="13"/>
  <c r="K160" i="15"/>
  <c r="I162" i="2"/>
  <c r="K58" i="2"/>
  <c r="K225" i="2"/>
  <c r="I172" i="13"/>
  <c r="K213" i="13"/>
  <c r="I107" i="2"/>
  <c r="I41" i="2"/>
  <c r="K136" i="2"/>
  <c r="J142" i="2" s="1" a="1"/>
  <c r="J142" i="2" s="1"/>
  <c r="I185" i="15"/>
  <c r="K207" i="15"/>
  <c r="I226" i="15"/>
  <c r="K136" i="14"/>
  <c r="K160" i="14"/>
  <c r="I169" i="14"/>
  <c r="I235" i="14"/>
  <c r="I207" i="14"/>
  <c r="I148" i="14"/>
  <c r="I162" i="14"/>
  <c r="K207" i="14"/>
  <c r="I236" i="14"/>
  <c r="K162" i="14"/>
  <c r="I173" i="14"/>
  <c r="K236" i="14"/>
  <c r="I159" i="14"/>
  <c r="K181" i="14"/>
  <c r="I215" i="14"/>
  <c r="I237" i="14"/>
  <c r="K215" i="14"/>
  <c r="K237" i="14"/>
  <c r="K14" i="15"/>
  <c r="I14" i="15"/>
  <c r="K152" i="15"/>
  <c r="K185" i="15"/>
  <c r="K226" i="15"/>
  <c r="K229" i="15"/>
  <c r="I229" i="15"/>
  <c r="K25" i="15"/>
  <c r="I25" i="15"/>
  <c r="H31" i="15" s="1" a="1"/>
  <c r="H31" i="15" s="1"/>
  <c r="K92" i="15"/>
  <c r="I92" i="15"/>
  <c r="K36" i="15"/>
  <c r="I36" i="15"/>
  <c r="K148" i="15"/>
  <c r="I148" i="15"/>
  <c r="K215" i="15"/>
  <c r="I215" i="15"/>
  <c r="K237" i="15"/>
  <c r="I237" i="15"/>
  <c r="K47" i="15"/>
  <c r="I47" i="15"/>
  <c r="I191" i="15"/>
  <c r="I205" i="15"/>
  <c r="I238" i="15"/>
  <c r="K58" i="15"/>
  <c r="I58" i="15"/>
  <c r="K118" i="15"/>
  <c r="I118" i="15"/>
  <c r="K238" i="15"/>
  <c r="K15" i="15"/>
  <c r="I15" i="15"/>
  <c r="K69" i="15"/>
  <c r="I69" i="15"/>
  <c r="K85" i="15"/>
  <c r="I85" i="15"/>
  <c r="K93" i="15"/>
  <c r="I93" i="15"/>
  <c r="K174" i="15"/>
  <c r="I174" i="15"/>
  <c r="K194" i="15"/>
  <c r="I194" i="15"/>
  <c r="K26" i="15"/>
  <c r="I26" i="15"/>
  <c r="K102" i="15"/>
  <c r="I102" i="15"/>
  <c r="K141" i="15"/>
  <c r="I141" i="15"/>
  <c r="K149" i="15"/>
  <c r="I149" i="15"/>
  <c r="K182" i="15"/>
  <c r="I182" i="15"/>
  <c r="K227" i="15"/>
  <c r="I227" i="15"/>
  <c r="I37" i="15"/>
  <c r="K37" i="15"/>
  <c r="K158" i="15"/>
  <c r="I158" i="15"/>
  <c r="K48" i="15"/>
  <c r="I48" i="15"/>
  <c r="K83" i="15"/>
  <c r="K150" i="15"/>
  <c r="K183" i="15"/>
  <c r="K228" i="15"/>
  <c r="K59" i="15"/>
  <c r="I59" i="15"/>
  <c r="I159" i="15"/>
  <c r="K116" i="15"/>
  <c r="I116" i="15"/>
  <c r="K239" i="15"/>
  <c r="I239" i="15"/>
  <c r="K139" i="15"/>
  <c r="I139" i="15"/>
  <c r="K172" i="15"/>
  <c r="I172" i="15"/>
  <c r="I240" i="15"/>
  <c r="K217" i="15"/>
  <c r="I217" i="15"/>
  <c r="K240" i="15"/>
  <c r="K95" i="15"/>
  <c r="I95" i="15"/>
  <c r="K196" i="15"/>
  <c r="I196" i="15"/>
  <c r="K151" i="15"/>
  <c r="I151" i="15"/>
  <c r="K184" i="15"/>
  <c r="I184" i="15"/>
  <c r="K74" i="15"/>
  <c r="K115" i="15"/>
  <c r="K117" i="15"/>
  <c r="K171" i="15"/>
  <c r="K173" i="15"/>
  <c r="K216" i="15"/>
  <c r="K218" i="15"/>
  <c r="K82" i="15"/>
  <c r="I73" i="15"/>
  <c r="I62" i="15"/>
  <c r="K113" i="13"/>
  <c r="I113" i="13"/>
  <c r="K192" i="13"/>
  <c r="I192" i="13"/>
  <c r="K237" i="13"/>
  <c r="K48" i="13"/>
  <c r="I48" i="13"/>
  <c r="K91" i="13"/>
  <c r="I91" i="13"/>
  <c r="I213" i="13"/>
  <c r="I52" i="13"/>
  <c r="K81" i="13"/>
  <c r="I81" i="13"/>
  <c r="I158" i="13"/>
  <c r="K52" i="13"/>
  <c r="K114" i="13"/>
  <c r="I114" i="13"/>
  <c r="I147" i="13"/>
  <c r="K158" i="13"/>
  <c r="I161" i="13"/>
  <c r="I180" i="13"/>
  <c r="I235" i="13"/>
  <c r="K238" i="13"/>
  <c r="K161" i="13"/>
  <c r="I194" i="13"/>
  <c r="I14" i="13"/>
  <c r="K103" i="13"/>
  <c r="I103" i="13"/>
  <c r="K169" i="13"/>
  <c r="I169" i="13"/>
  <c r="K194" i="13"/>
  <c r="K36" i="13"/>
  <c r="I36" i="13"/>
  <c r="K202" i="13"/>
  <c r="I202" i="13"/>
  <c r="K25" i="13"/>
  <c r="I25" i="13"/>
  <c r="I50" i="13"/>
  <c r="I69" i="13"/>
  <c r="K93" i="13"/>
  <c r="I170" i="13"/>
  <c r="K206" i="13"/>
  <c r="I225" i="13"/>
  <c r="K58" i="13"/>
  <c r="I58" i="13"/>
  <c r="K240" i="13"/>
  <c r="K159" i="13"/>
  <c r="I159" i="13"/>
  <c r="K26" i="13"/>
  <c r="I26" i="13"/>
  <c r="K15" i="13"/>
  <c r="I15" i="13"/>
  <c r="K102" i="13"/>
  <c r="K105" i="13"/>
  <c r="K149" i="13"/>
  <c r="I163" i="13"/>
  <c r="K204" i="13"/>
  <c r="K82" i="13"/>
  <c r="I80" i="13"/>
  <c r="K25" i="2"/>
  <c r="I26" i="2"/>
  <c r="K40" i="2"/>
  <c r="K41" i="2"/>
  <c r="K38" i="2"/>
  <c r="I38" i="2"/>
  <c r="I36" i="2"/>
  <c r="K39" i="2"/>
  <c r="I47" i="2"/>
  <c r="K47" i="2"/>
  <c r="K51" i="2"/>
  <c r="K61" i="2"/>
  <c r="K62" i="2"/>
  <c r="I59" i="2"/>
  <c r="K59" i="2"/>
  <c r="I63" i="2"/>
  <c r="K63" i="2"/>
  <c r="I74" i="2"/>
  <c r="I72" i="2"/>
  <c r="K72" i="2"/>
  <c r="I85" i="2"/>
  <c r="K85" i="2"/>
  <c r="I83" i="2"/>
  <c r="K83" i="2"/>
  <c r="I80" i="2"/>
  <c r="I94" i="2"/>
  <c r="K91" i="2"/>
  <c r="I92" i="2"/>
  <c r="K96" i="2"/>
  <c r="I96" i="2"/>
  <c r="I93" i="2"/>
  <c r="K106" i="2"/>
  <c r="K103" i="2"/>
  <c r="I106" i="2"/>
  <c r="K107" i="2"/>
  <c r="I102" i="2"/>
  <c r="K105" i="2"/>
  <c r="I115" i="2"/>
  <c r="K118" i="2"/>
  <c r="I118" i="2"/>
  <c r="I113" i="2"/>
  <c r="K116" i="2"/>
  <c r="I117" i="2"/>
  <c r="K117" i="2"/>
  <c r="I114" i="2"/>
  <c r="K114" i="2"/>
  <c r="I136" i="2"/>
  <c r="K206" i="2"/>
  <c r="I206" i="2"/>
  <c r="I180" i="2"/>
  <c r="K180" i="2"/>
  <c r="K216" i="2"/>
  <c r="I216" i="2"/>
  <c r="K204" i="2"/>
  <c r="I204" i="2"/>
  <c r="K235" i="2"/>
  <c r="I138" i="2"/>
  <c r="I218" i="2"/>
  <c r="K138" i="2"/>
  <c r="I150" i="2"/>
  <c r="I171" i="2"/>
  <c r="I192" i="2"/>
  <c r="I139" i="2"/>
  <c r="K150" i="2"/>
  <c r="K171" i="2"/>
  <c r="K192" i="2"/>
  <c r="K139" i="2"/>
  <c r="I213" i="2"/>
  <c r="H219" i="2" s="1" a="1"/>
  <c r="H219" i="2" s="1"/>
  <c r="I228" i="2"/>
  <c r="I140" i="2"/>
  <c r="K161" i="2"/>
  <c r="K213" i="2"/>
  <c r="K237" i="2"/>
  <c r="K140" i="2"/>
  <c r="K151" i="2"/>
  <c r="I183" i="2"/>
  <c r="K183" i="2"/>
  <c r="I224" i="2"/>
  <c r="H230" i="2" s="1" a="1"/>
  <c r="H230" i="2" s="1"/>
  <c r="K162" i="2"/>
  <c r="I163" i="2"/>
  <c r="I215" i="2"/>
  <c r="K163" i="2"/>
  <c r="I185" i="2"/>
  <c r="I196" i="2"/>
  <c r="K215" i="2"/>
  <c r="K196" i="2"/>
  <c r="I225" i="2"/>
  <c r="I147" i="2"/>
  <c r="H153" i="2" s="1" a="1"/>
  <c r="H153" i="2" s="1"/>
  <c r="K147" i="2"/>
  <c r="I159" i="2"/>
  <c r="K194" i="2"/>
  <c r="K95" i="2"/>
  <c r="I95" i="2"/>
  <c r="K84" i="2"/>
  <c r="I69" i="2"/>
  <c r="I62" i="2"/>
  <c r="I60" i="2"/>
  <c r="K60" i="2"/>
  <c r="I50" i="2"/>
  <c r="I49" i="2"/>
  <c r="K49" i="2"/>
  <c r="I37" i="2"/>
  <c r="K37" i="2"/>
  <c r="I25" i="2"/>
  <c r="I29" i="2"/>
  <c r="K29" i="2"/>
  <c r="K27" i="2"/>
  <c r="I27" i="2"/>
  <c r="Q14" i="2" a="1"/>
  <c r="Q14" i="2" s="1"/>
  <c r="AD61" i="1"/>
  <c r="AE60" i="1" s="1"/>
  <c r="A17" i="1" s="1"/>
  <c r="S24" i="1"/>
  <c r="K7" i="1"/>
  <c r="S26" i="1" s="1"/>
  <c r="H14" i="2"/>
  <c r="J14" i="2"/>
  <c r="J15" i="2"/>
  <c r="J16" i="2"/>
  <c r="J17" i="2"/>
  <c r="J18" i="2"/>
  <c r="J19" i="2"/>
  <c r="H15" i="2"/>
  <c r="H16" i="2"/>
  <c r="H17" i="2"/>
  <c r="H18" i="2"/>
  <c r="H19" i="2"/>
  <c r="J142" i="15" l="1" a="1"/>
  <c r="J142" i="15" s="1"/>
  <c r="I126" i="15" s="1"/>
  <c r="J142" i="14" a="1"/>
  <c r="J142" i="14" s="1"/>
  <c r="H142" i="13" a="1"/>
  <c r="H142" i="13" s="1"/>
  <c r="D126" i="13" s="1"/>
  <c r="H142" i="14" a="1"/>
  <c r="H142" i="14" s="1"/>
  <c r="J142" i="13" a="1"/>
  <c r="J142" i="13" s="1"/>
  <c r="I126" i="13" s="1"/>
  <c r="J20" i="13" a="1"/>
  <c r="J20" i="13" s="1"/>
  <c r="H142" i="15" a="1"/>
  <c r="H142" i="15" s="1"/>
  <c r="D126" i="15" s="1"/>
  <c r="H20" i="15" a="1"/>
  <c r="H20" i="15" s="1"/>
  <c r="J20" i="15" a="1"/>
  <c r="J20" i="15" s="1"/>
  <c r="H20" i="14" a="1"/>
  <c r="H20" i="14" s="1"/>
  <c r="J20" i="14" a="1"/>
  <c r="J20" i="14" s="1"/>
  <c r="H20" i="13" a="1"/>
  <c r="H20" i="13" s="1"/>
  <c r="H142" i="2" a="1"/>
  <c r="H142" i="2" s="1"/>
  <c r="T8" i="1"/>
  <c r="I126" i="2" l="1"/>
  <c r="D126" i="2"/>
  <c r="S27" i="1"/>
  <c r="U10" i="1"/>
  <c r="S55" i="1" l="1"/>
  <c r="AN55" i="1"/>
  <c r="AW55" i="1"/>
  <c r="BH55" i="1"/>
  <c r="S56" i="1"/>
  <c r="AN56" i="1"/>
  <c r="AW56" i="1"/>
  <c r="BH56" i="1"/>
  <c r="T17" i="1" a="1"/>
  <c r="T17" i="1" s="1"/>
  <c r="XFD55" i="1" l="1"/>
  <c r="T21" i="1"/>
  <c r="T19" i="1"/>
  <c r="T18" i="1"/>
  <c r="R19" i="2" l="1"/>
  <c r="P19" i="2" s="1"/>
  <c r="Q19" i="2" a="1"/>
  <c r="Q19" i="2" s="1"/>
  <c r="R18" i="2"/>
  <c r="P18" i="2" s="1"/>
  <c r="Q18" i="2" a="1"/>
  <c r="Q18" i="2" s="1"/>
  <c r="R17" i="2"/>
  <c r="P17" i="2" s="1"/>
  <c r="Q17" i="2" a="1"/>
  <c r="Q17" i="2" s="1"/>
  <c r="R16" i="2"/>
  <c r="P16" i="2" s="1"/>
  <c r="Q16" i="2" a="1"/>
  <c r="Q16" i="2" s="1"/>
  <c r="R15" i="2"/>
  <c r="Q15" i="2" a="1"/>
  <c r="Q15" i="2" s="1"/>
  <c r="R14" i="2"/>
  <c r="I17" i="2" l="1"/>
  <c r="K17" i="2"/>
  <c r="K19" i="2"/>
  <c r="I19" i="2"/>
  <c r="K18" i="2"/>
  <c r="I18" i="2"/>
  <c r="K16" i="2"/>
  <c r="I16" i="2"/>
  <c r="P14" i="2"/>
  <c r="K14" i="2" s="1"/>
  <c r="P15" i="2"/>
  <c r="I14" i="2" l="1"/>
  <c r="K15" i="2"/>
  <c r="I15" i="2"/>
  <c r="J20" i="2" l="1" a="1"/>
  <c r="J20" i="2" s="1"/>
  <c r="BH38" i="1" l="1"/>
  <c r="BH39" i="1"/>
  <c r="BH40" i="1"/>
  <c r="BH41" i="1"/>
  <c r="BH42" i="1"/>
  <c r="BH43" i="1"/>
  <c r="BH44" i="1"/>
  <c r="BH45" i="1"/>
  <c r="BH46" i="1"/>
  <c r="BH47" i="1"/>
  <c r="BH48" i="1"/>
  <c r="BH49" i="1"/>
  <c r="BH50" i="1"/>
  <c r="BH51" i="1"/>
  <c r="BH52" i="1"/>
  <c r="BH53" i="1"/>
  <c r="BH54" i="1"/>
  <c r="BH57" i="1"/>
  <c r="BH58" i="1"/>
  <c r="BH59" i="1"/>
  <c r="BH60" i="1"/>
  <c r="BH61" i="1"/>
  <c r="BH62" i="1"/>
  <c r="BH63" i="1"/>
  <c r="BH64" i="1"/>
  <c r="BH65" i="1"/>
  <c r="BH66" i="1"/>
  <c r="BH67" i="1"/>
  <c r="BH68" i="1"/>
  <c r="BH69" i="1"/>
  <c r="BH70" i="1"/>
  <c r="BH71" i="1"/>
  <c r="BH72" i="1"/>
  <c r="BH73" i="1"/>
  <c r="BH22" i="1"/>
  <c r="AW65" i="1"/>
  <c r="AW66" i="1"/>
  <c r="AW67" i="1"/>
  <c r="AW68" i="1"/>
  <c r="AW69" i="1"/>
  <c r="AW70" i="1"/>
  <c r="AW71" i="1"/>
  <c r="AW72" i="1"/>
  <c r="AW73" i="1"/>
  <c r="AW74" i="1"/>
  <c r="AW75" i="1"/>
  <c r="AW76" i="1"/>
  <c r="AW77" i="1"/>
  <c r="AW78" i="1"/>
  <c r="AW79" i="1"/>
  <c r="AW80" i="1"/>
  <c r="AW81" i="1"/>
  <c r="AW82" i="1"/>
  <c r="AW83" i="1"/>
  <c r="AW84" i="1"/>
  <c r="AW85" i="1"/>
  <c r="AW86" i="1"/>
  <c r="AW87" i="1"/>
  <c r="AW88" i="1"/>
  <c r="AW89" i="1"/>
  <c r="AW90" i="1"/>
  <c r="AW91" i="1"/>
  <c r="AW92" i="1"/>
  <c r="AW93" i="1"/>
  <c r="AW94" i="1"/>
  <c r="AW95" i="1"/>
  <c r="AW96" i="1"/>
  <c r="AW97" i="1"/>
  <c r="AW98" i="1"/>
  <c r="AW99" i="1"/>
  <c r="AW100" i="1"/>
  <c r="AW101" i="1"/>
  <c r="AW102" i="1"/>
  <c r="AW103" i="1"/>
  <c r="AW104" i="1"/>
  <c r="AW105" i="1"/>
  <c r="AW106" i="1"/>
  <c r="AW107" i="1"/>
  <c r="AW108" i="1"/>
  <c r="AW109" i="1"/>
  <c r="AW110" i="1"/>
  <c r="AW111" i="1"/>
  <c r="AW112" i="1"/>
  <c r="AW113" i="1"/>
  <c r="AW114" i="1"/>
  <c r="AW115" i="1"/>
  <c r="AW116" i="1"/>
  <c r="AW117" i="1"/>
  <c r="AW118" i="1"/>
  <c r="AW119" i="1"/>
  <c r="AW120" i="1"/>
  <c r="AW121" i="1"/>
  <c r="AW122" i="1"/>
  <c r="AW123" i="1"/>
  <c r="AW124" i="1"/>
  <c r="AW125" i="1"/>
  <c r="AW126" i="1"/>
  <c r="AW127" i="1"/>
  <c r="AN38" i="1"/>
  <c r="AN39" i="1"/>
  <c r="AN40" i="1"/>
  <c r="AN41" i="1"/>
  <c r="AN42" i="1"/>
  <c r="AN43" i="1"/>
  <c r="AN44" i="1"/>
  <c r="AN45" i="1"/>
  <c r="AN46" i="1"/>
  <c r="AN47" i="1"/>
  <c r="AN48" i="1"/>
  <c r="AN49" i="1"/>
  <c r="AN50" i="1"/>
  <c r="AN51" i="1"/>
  <c r="AN52" i="1"/>
  <c r="AN53" i="1"/>
  <c r="AN54" i="1"/>
  <c r="AN57" i="1"/>
  <c r="AN58" i="1"/>
  <c r="AN59" i="1"/>
  <c r="AN60" i="1"/>
  <c r="AN61" i="1"/>
  <c r="AN62" i="1"/>
  <c r="AN63" i="1"/>
  <c r="AN64" i="1"/>
  <c r="AN65" i="1"/>
  <c r="AN66" i="1"/>
  <c r="AN67" i="1"/>
  <c r="AN68" i="1"/>
  <c r="AN69" i="1"/>
  <c r="AN70" i="1"/>
  <c r="AN71" i="1"/>
  <c r="AN72" i="1"/>
  <c r="AN73" i="1"/>
  <c r="AW57" i="1"/>
  <c r="AW58" i="1"/>
  <c r="AW22" i="1"/>
  <c r="U1" i="1"/>
  <c r="V2" i="1"/>
  <c r="V3" i="1"/>
  <c r="V4" i="1"/>
  <c r="V5" i="1"/>
  <c r="V6" i="1"/>
  <c r="V7" i="1"/>
  <c r="V8" i="1"/>
  <c r="V9" i="1"/>
  <c r="V10" i="1"/>
  <c r="V11" i="1"/>
  <c r="V12" i="1"/>
  <c r="V13" i="1"/>
  <c r="V14" i="1"/>
  <c r="V15" i="1"/>
  <c r="V16" i="1"/>
  <c r="V17" i="1"/>
  <c r="V18" i="1"/>
  <c r="V19" i="1"/>
  <c r="V20" i="1"/>
  <c r="V21" i="1"/>
  <c r="V22" i="1"/>
  <c r="V23" i="1"/>
  <c r="V24" i="1"/>
  <c r="V25" i="1"/>
  <c r="V26" i="1"/>
  <c r="V27" i="1"/>
  <c r="V28" i="1"/>
  <c r="AB4" i="1"/>
  <c r="AB5" i="1"/>
  <c r="AB6" i="1"/>
  <c r="AB7" i="1"/>
  <c r="AB8" i="1"/>
  <c r="AB9" i="1"/>
  <c r="AB10" i="1"/>
  <c r="AB11" i="1"/>
  <c r="AB12" i="1"/>
  <c r="AB13" i="1"/>
  <c r="AB14" i="1"/>
  <c r="AB15" i="1"/>
  <c r="AB16" i="1"/>
  <c r="AB17" i="1"/>
  <c r="AB18" i="1"/>
  <c r="AB19" i="1"/>
  <c r="AB20" i="1"/>
  <c r="AB21" i="1"/>
  <c r="AB22" i="1"/>
  <c r="AB23" i="1"/>
  <c r="AB2" i="1"/>
  <c r="AB3" i="1"/>
  <c r="AB24" i="1"/>
  <c r="AB25" i="1"/>
  <c r="AB26" i="1"/>
  <c r="AB27" i="1"/>
  <c r="AB28" i="1"/>
  <c r="U2" i="1" l="1"/>
  <c r="K23" i="1" s="1"/>
  <c r="P87" i="1" s="1" a="1"/>
  <c r="P87" i="1" s="1"/>
  <c r="T20" i="1"/>
  <c r="U7" i="1"/>
  <c r="U9" i="1"/>
  <c r="S49" i="1"/>
  <c r="S50" i="1"/>
  <c r="S51" i="1"/>
  <c r="S52" i="1"/>
  <c r="S53" i="1"/>
  <c r="S54" i="1"/>
  <c r="S57" i="1"/>
  <c r="S58" i="1"/>
  <c r="S59" i="1"/>
  <c r="S60" i="1"/>
  <c r="S61" i="1"/>
  <c r="S62" i="1"/>
  <c r="S63" i="1"/>
  <c r="S64" i="1"/>
  <c r="S65" i="1"/>
  <c r="S66" i="1"/>
  <c r="S67" i="1"/>
  <c r="S68" i="1"/>
  <c r="S69" i="1"/>
  <c r="S70" i="1"/>
  <c r="S71" i="1"/>
  <c r="S72" i="1"/>
  <c r="S73" i="1"/>
  <c r="S74" i="1"/>
  <c r="S75" i="1"/>
  <c r="S76" i="1"/>
  <c r="S77" i="1"/>
  <c r="S78" i="1"/>
  <c r="S79" i="1"/>
  <c r="S48" i="1"/>
  <c r="S46" i="1"/>
  <c r="BH3" i="1"/>
  <c r="BH4" i="1"/>
  <c r="BH5" i="1"/>
  <c r="BH6" i="1"/>
  <c r="BH7" i="1"/>
  <c r="BH8" i="1"/>
  <c r="BH9" i="1"/>
  <c r="BH10" i="1"/>
  <c r="BH11" i="1"/>
  <c r="BH12" i="1"/>
  <c r="BH13" i="1"/>
  <c r="BH14" i="1"/>
  <c r="BH15" i="1"/>
  <c r="BH16" i="1"/>
  <c r="BH17" i="1"/>
  <c r="BH18" i="1"/>
  <c r="BH19" i="1"/>
  <c r="BH20" i="1"/>
  <c r="BH21" i="1"/>
  <c r="BH23" i="1"/>
  <c r="BH24" i="1"/>
  <c r="BH25" i="1"/>
  <c r="BH26" i="1"/>
  <c r="BH27" i="1"/>
  <c r="BH28" i="1"/>
  <c r="BH29" i="1"/>
  <c r="BH30" i="1"/>
  <c r="BH31" i="1"/>
  <c r="BH32" i="1"/>
  <c r="BH33" i="1"/>
  <c r="BH34" i="1"/>
  <c r="BH35" i="1"/>
  <c r="BH36" i="1"/>
  <c r="BH37" i="1"/>
  <c r="BH2" i="1"/>
  <c r="AW59" i="1"/>
  <c r="AW3" i="1"/>
  <c r="AW4" i="1"/>
  <c r="AW5" i="1"/>
  <c r="AW6" i="1"/>
  <c r="AW7" i="1"/>
  <c r="AW8" i="1"/>
  <c r="AW9" i="1"/>
  <c r="AW10" i="1"/>
  <c r="AW11" i="1"/>
  <c r="AW12" i="1"/>
  <c r="AW13" i="1"/>
  <c r="AW14" i="1"/>
  <c r="AW15" i="1"/>
  <c r="AW16" i="1"/>
  <c r="AW17" i="1"/>
  <c r="AW18" i="1"/>
  <c r="AW19" i="1"/>
  <c r="AW20" i="1"/>
  <c r="AW21" i="1"/>
  <c r="AW23" i="1"/>
  <c r="AW24" i="1"/>
  <c r="AW25" i="1"/>
  <c r="AW26" i="1"/>
  <c r="AW27" i="1"/>
  <c r="AW28" i="1"/>
  <c r="AW29" i="1"/>
  <c r="AW30" i="1"/>
  <c r="AW31" i="1"/>
  <c r="AW32" i="1"/>
  <c r="AW33" i="1"/>
  <c r="AW34" i="1"/>
  <c r="AW35" i="1"/>
  <c r="AW36" i="1"/>
  <c r="AW37" i="1"/>
  <c r="AW38" i="1"/>
  <c r="AW39" i="1"/>
  <c r="AW40" i="1"/>
  <c r="AW41" i="1"/>
  <c r="AW42" i="1"/>
  <c r="AW43" i="1"/>
  <c r="AW44" i="1"/>
  <c r="AW45" i="1"/>
  <c r="AW46" i="1"/>
  <c r="AW47" i="1"/>
  <c r="AW48" i="1"/>
  <c r="AW49" i="1"/>
  <c r="AW50" i="1"/>
  <c r="AW51" i="1"/>
  <c r="AW52" i="1"/>
  <c r="AW53" i="1"/>
  <c r="AW54" i="1"/>
  <c r="AW60" i="1"/>
  <c r="AW61" i="1"/>
  <c r="AW62" i="1"/>
  <c r="AW63" i="1"/>
  <c r="AW64" i="1"/>
  <c r="AW2" i="1"/>
  <c r="AN2" i="1"/>
  <c r="C27" i="1" l="1"/>
  <c r="Z46" i="1" s="1"/>
  <c r="C21" i="1" s="1"/>
  <c r="C33" i="1" s="1"/>
  <c r="P86" i="1" a="1"/>
  <c r="P86" i="1" s="1"/>
  <c r="Q87" i="1" a="1"/>
  <c r="Q87" i="1" s="1"/>
  <c r="R87" i="1" s="1"/>
  <c r="S87" i="1" s="1"/>
  <c r="C54" i="1" s="1"/>
  <c r="Q86" i="1" a="1"/>
  <c r="Q86" i="1" s="1"/>
  <c r="R86" i="1" s="1"/>
  <c r="S86" i="1" s="1"/>
  <c r="F36" i="1" l="1"/>
  <c r="C36" i="1"/>
  <c r="F39" i="1"/>
  <c r="C39" i="1"/>
  <c r="F33" i="1"/>
  <c r="T1" i="14" s="1" a="1"/>
  <c r="T1" i="14" s="1"/>
  <c r="D125" i="14" s="1"/>
  <c r="X1" i="14" a="1"/>
  <c r="X1" i="14" s="1"/>
  <c r="D3" i="14" s="1"/>
  <c r="X2" i="15" a="1"/>
  <c r="X2" i="15" s="1"/>
  <c r="C51" i="1"/>
  <c r="T2" i="13" s="1" a="1"/>
  <c r="T2" i="13" s="1"/>
  <c r="AN3" i="1"/>
  <c r="Q84" i="1" s="1" a="1"/>
  <c r="Q8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H3" i="1"/>
  <c r="AH4" i="1"/>
  <c r="AH5" i="1"/>
  <c r="AH6" i="1"/>
  <c r="AH7" i="1"/>
  <c r="AH8" i="1"/>
  <c r="AH9" i="1"/>
  <c r="AH10" i="1"/>
  <c r="AH11" i="1"/>
  <c r="AH12" i="1"/>
  <c r="AH13" i="1"/>
  <c r="AH14" i="1"/>
  <c r="AH15" i="1"/>
  <c r="AH16" i="1"/>
  <c r="AH17" i="1"/>
  <c r="AH18" i="1"/>
  <c r="AH19" i="1"/>
  <c r="AH20" i="1"/>
  <c r="AH21" i="1"/>
  <c r="AH22" i="1"/>
  <c r="AH23" i="1"/>
  <c r="AH24" i="1"/>
  <c r="AH25" i="1"/>
  <c r="AH26" i="1"/>
  <c r="AH27" i="1"/>
  <c r="AH28" i="1"/>
  <c r="AH29" i="1"/>
  <c r="AH30" i="1"/>
  <c r="AH31" i="1"/>
  <c r="AH2" i="1"/>
  <c r="AB29" i="1"/>
  <c r="AB30" i="1"/>
  <c r="H242" i="14" l="1"/>
  <c r="S235" i="14" s="1"/>
  <c r="H231" i="14"/>
  <c r="S224" i="14" s="1"/>
  <c r="H220" i="14"/>
  <c r="S213" i="14" s="1"/>
  <c r="H209" i="14"/>
  <c r="S202" i="14" s="1"/>
  <c r="H198" i="14"/>
  <c r="S191" i="14" s="1"/>
  <c r="H187" i="14"/>
  <c r="S180" i="14" s="1"/>
  <c r="H176" i="14"/>
  <c r="S169" i="14" s="1"/>
  <c r="H165" i="14"/>
  <c r="S158" i="14" s="1"/>
  <c r="H154" i="14"/>
  <c r="S147" i="14" s="1"/>
  <c r="H143" i="14"/>
  <c r="S136" i="14" s="1"/>
  <c r="H54" i="14"/>
  <c r="S47" i="14" s="1"/>
  <c r="H43" i="14"/>
  <c r="S36" i="14" s="1"/>
  <c r="H32" i="14"/>
  <c r="S25" i="14" s="1"/>
  <c r="H21" i="14"/>
  <c r="S14" i="14" s="1"/>
  <c r="H65" i="14"/>
  <c r="S58" i="14" s="1"/>
  <c r="H120" i="14"/>
  <c r="S113" i="14" s="1"/>
  <c r="H76" i="14"/>
  <c r="S69" i="14" s="1"/>
  <c r="H109" i="14"/>
  <c r="S102" i="14" s="1"/>
  <c r="H98" i="14"/>
  <c r="S91" i="14" s="1"/>
  <c r="H87" i="14"/>
  <c r="S80" i="14" s="1"/>
  <c r="C42" i="1"/>
  <c r="X1" i="13" s="1" a="1"/>
  <c r="X1" i="13" s="1"/>
  <c r="D3" i="13" s="1"/>
  <c r="F42" i="1"/>
  <c r="T1" i="13" s="1" a="1"/>
  <c r="T1" i="13" s="1"/>
  <c r="D125" i="13" s="1"/>
  <c r="X2" i="13" a="1"/>
  <c r="X2" i="13" s="1"/>
  <c r="D127" i="14"/>
  <c r="A128" i="14" s="1"/>
  <c r="D5" i="14"/>
  <c r="A6" i="14" s="1"/>
  <c r="T2" i="15" a="1"/>
  <c r="T2" i="15" s="1"/>
  <c r="I3" i="15" s="1"/>
  <c r="I5" i="15" s="1"/>
  <c r="G6" i="15" s="1"/>
  <c r="I125" i="13"/>
  <c r="I3" i="13"/>
  <c r="I35" i="1"/>
  <c r="R84" i="1"/>
  <c r="S84" i="1" s="1"/>
  <c r="Q85" i="1" a="1"/>
  <c r="Q85" i="1" s="1"/>
  <c r="R85" i="1" s="1"/>
  <c r="S85" i="1" s="1"/>
  <c r="C48" i="1" s="1"/>
  <c r="P85" i="1" a="1"/>
  <c r="P85" i="1" s="1"/>
  <c r="P84" i="1" a="1"/>
  <c r="P84" i="1" s="1"/>
  <c r="T1" i="15" a="1"/>
  <c r="T1" i="15" s="1"/>
  <c r="D125" i="15" s="1"/>
  <c r="X1" i="15" a="1"/>
  <c r="X1" i="15" s="1"/>
  <c r="D3" i="15" s="1"/>
  <c r="I32" i="1"/>
  <c r="X1" i="2" a="1"/>
  <c r="X1" i="2" s="1"/>
  <c r="D3" i="2" s="1"/>
  <c r="H231" i="13" l="1"/>
  <c r="S224" i="13" s="1"/>
  <c r="H220" i="13"/>
  <c r="S213" i="13" s="1"/>
  <c r="H209" i="13"/>
  <c r="S202" i="13" s="1"/>
  <c r="H198" i="13"/>
  <c r="S191" i="13" s="1"/>
  <c r="H176" i="13"/>
  <c r="S169" i="13" s="1"/>
  <c r="S158" i="13"/>
  <c r="H154" i="13"/>
  <c r="S147" i="13" s="1"/>
  <c r="H242" i="13"/>
  <c r="S235" i="13" s="1"/>
  <c r="H143" i="13"/>
  <c r="S136" i="13" s="1"/>
  <c r="H187" i="13"/>
  <c r="S180" i="13" s="1"/>
  <c r="H32" i="13"/>
  <c r="S25" i="13" s="1"/>
  <c r="H21" i="13"/>
  <c r="S14" i="13" s="1"/>
  <c r="H65" i="13"/>
  <c r="S58" i="13" s="1"/>
  <c r="H87" i="13"/>
  <c r="S80" i="13" s="1"/>
  <c r="H120" i="13"/>
  <c r="S113" i="13" s="1"/>
  <c r="H98" i="13"/>
  <c r="S91" i="13" s="1"/>
  <c r="H54" i="13"/>
  <c r="S47" i="13" s="1"/>
  <c r="H43" i="13"/>
  <c r="S36" i="13" s="1"/>
  <c r="H109" i="13"/>
  <c r="S102" i="13" s="1"/>
  <c r="H76" i="13"/>
  <c r="S69" i="13" s="1"/>
  <c r="H98" i="15"/>
  <c r="S91" i="15" s="1"/>
  <c r="H87" i="15"/>
  <c r="S80" i="15" s="1"/>
  <c r="H76" i="15"/>
  <c r="S69" i="15" s="1"/>
  <c r="H21" i="15"/>
  <c r="S14" i="15" s="1"/>
  <c r="H65" i="15"/>
  <c r="S58" i="15" s="1"/>
  <c r="H54" i="15"/>
  <c r="S47" i="15" s="1"/>
  <c r="H32" i="15"/>
  <c r="S25" i="15" s="1"/>
  <c r="H43" i="15"/>
  <c r="S36" i="15" s="1"/>
  <c r="H120" i="15"/>
  <c r="S113" i="15" s="1"/>
  <c r="H109" i="15"/>
  <c r="S102" i="15" s="1"/>
  <c r="H242" i="15"/>
  <c r="S235" i="15" s="1"/>
  <c r="H231" i="15"/>
  <c r="S224" i="15" s="1"/>
  <c r="H220" i="15"/>
  <c r="S213" i="15" s="1"/>
  <c r="H209" i="15"/>
  <c r="S202" i="15" s="1"/>
  <c r="H198" i="15"/>
  <c r="S191" i="15" s="1"/>
  <c r="H187" i="15"/>
  <c r="S180" i="15" s="1"/>
  <c r="H176" i="15"/>
  <c r="S169" i="15" s="1"/>
  <c r="H165" i="15"/>
  <c r="S158" i="15" s="1"/>
  <c r="H143" i="15"/>
  <c r="S136" i="15" s="1"/>
  <c r="H154" i="15"/>
  <c r="S147" i="15" s="1"/>
  <c r="H54" i="2"/>
  <c r="H21" i="2"/>
  <c r="H98" i="2"/>
  <c r="H65" i="2"/>
  <c r="H43" i="2"/>
  <c r="H120" i="2"/>
  <c r="H109" i="2"/>
  <c r="H87" i="2"/>
  <c r="H32" i="2"/>
  <c r="H76" i="2"/>
  <c r="I127" i="13"/>
  <c r="G128" i="13" s="1"/>
  <c r="J176" i="13"/>
  <c r="S170" i="13" s="1"/>
  <c r="J165" i="13"/>
  <c r="S159" i="13" s="1"/>
  <c r="J154" i="13"/>
  <c r="S148" i="13" s="1"/>
  <c r="J143" i="13"/>
  <c r="S137" i="13" s="1"/>
  <c r="J231" i="13"/>
  <c r="S225" i="13" s="1"/>
  <c r="J220" i="13"/>
  <c r="S214" i="13" s="1"/>
  <c r="J209" i="13"/>
  <c r="S203" i="13" s="1"/>
  <c r="J198" i="13"/>
  <c r="S192" i="13" s="1"/>
  <c r="J187" i="13"/>
  <c r="S181" i="13" s="1"/>
  <c r="J242" i="13"/>
  <c r="S236" i="13" s="1"/>
  <c r="D127" i="13"/>
  <c r="A128" i="13" s="1"/>
  <c r="D127" i="15"/>
  <c r="A128" i="15" s="1"/>
  <c r="D127" i="2"/>
  <c r="A128" i="2" s="1"/>
  <c r="T2" i="2" a="1"/>
  <c r="T2" i="2" s="1"/>
  <c r="I125" i="15"/>
  <c r="C45" i="1"/>
  <c r="X2" i="14" s="1" a="1"/>
  <c r="X2" i="14" s="1"/>
  <c r="J87" i="15"/>
  <c r="S81" i="15" s="1"/>
  <c r="J120" i="15"/>
  <c r="S114" i="15" s="1"/>
  <c r="J98" i="15"/>
  <c r="S92" i="15" s="1"/>
  <c r="J21" i="15"/>
  <c r="S15" i="15" s="1"/>
  <c r="D5" i="15"/>
  <c r="A6" i="15" s="1"/>
  <c r="J109" i="13"/>
  <c r="S103" i="13" s="1"/>
  <c r="J120" i="13"/>
  <c r="S114" i="13" s="1"/>
  <c r="J65" i="13"/>
  <c r="S59" i="13" s="1"/>
  <c r="J98" i="13"/>
  <c r="S92" i="13" s="1"/>
  <c r="J43" i="13"/>
  <c r="S37" i="13" s="1"/>
  <c r="J32" i="13"/>
  <c r="S26" i="13" s="1"/>
  <c r="J21" i="13"/>
  <c r="S15" i="13" s="1"/>
  <c r="I5" i="13"/>
  <c r="G6" i="13" s="1"/>
  <c r="J87" i="13"/>
  <c r="S81" i="13" s="1"/>
  <c r="J54" i="13"/>
  <c r="S48" i="13" s="1"/>
  <c r="J76" i="13"/>
  <c r="S70" i="13" s="1"/>
  <c r="J109" i="15"/>
  <c r="S103" i="15" s="1"/>
  <c r="J76" i="15"/>
  <c r="S70" i="15" s="1"/>
  <c r="J65" i="15"/>
  <c r="S59" i="15" s="1"/>
  <c r="J32" i="15"/>
  <c r="S26" i="15" s="1"/>
  <c r="J43" i="15"/>
  <c r="S37" i="15" s="1"/>
  <c r="J54" i="15"/>
  <c r="S48" i="15" s="1"/>
  <c r="D5" i="13"/>
  <c r="A6" i="13" s="1"/>
  <c r="T1" i="2" a="1"/>
  <c r="T1" i="2" s="1"/>
  <c r="D125" i="2" s="1"/>
  <c r="I38" i="1"/>
  <c r="I41" i="1"/>
  <c r="V29" i="1"/>
  <c r="V30" i="1"/>
  <c r="V31" i="1"/>
  <c r="V32" i="1"/>
  <c r="V33" i="1"/>
  <c r="V34" i="1"/>
  <c r="V35" i="1"/>
  <c r="V36" i="1"/>
  <c r="A22" i="15" l="1"/>
  <c r="I125" i="2"/>
  <c r="I3" i="2"/>
  <c r="S235" i="2"/>
  <c r="H165" i="2"/>
  <c r="S158" i="2" s="1"/>
  <c r="H143" i="2"/>
  <c r="S136" i="2" s="1"/>
  <c r="H231" i="2"/>
  <c r="S224" i="2" s="1"/>
  <c r="H198" i="2"/>
  <c r="S191" i="2" s="1"/>
  <c r="H154" i="2"/>
  <c r="S147" i="2" s="1"/>
  <c r="H220" i="2"/>
  <c r="S213" i="2" s="1"/>
  <c r="H209" i="2"/>
  <c r="S202" i="2" s="1"/>
  <c r="H187" i="2"/>
  <c r="S180" i="2" s="1"/>
  <c r="H176" i="2"/>
  <c r="S169" i="2" s="1"/>
  <c r="I127" i="15"/>
  <c r="G128" i="15" s="1"/>
  <c r="J231" i="15"/>
  <c r="S225" i="15" s="1"/>
  <c r="A232" i="15" s="1"/>
  <c r="J198" i="15"/>
  <c r="S192" i="15" s="1"/>
  <c r="A199" i="15" s="1"/>
  <c r="J165" i="15"/>
  <c r="S159" i="15" s="1"/>
  <c r="A166" i="15" s="1"/>
  <c r="J143" i="15"/>
  <c r="S137" i="15" s="1"/>
  <c r="A144" i="15" s="1"/>
  <c r="J242" i="15"/>
  <c r="S236" i="15" s="1"/>
  <c r="A243" i="15" s="1"/>
  <c r="J176" i="15"/>
  <c r="S170" i="15" s="1"/>
  <c r="A177" i="15" s="1"/>
  <c r="J220" i="15"/>
  <c r="S214" i="15" s="1"/>
  <c r="A221" i="15" s="1"/>
  <c r="J154" i="15"/>
  <c r="S148" i="15" s="1"/>
  <c r="A155" i="15" s="1"/>
  <c r="J209" i="15"/>
  <c r="S203" i="15" s="1"/>
  <c r="A210" i="15" s="1"/>
  <c r="J187" i="15"/>
  <c r="S181" i="15" s="1"/>
  <c r="A188" i="15" s="1"/>
  <c r="S14" i="2"/>
  <c r="A6" i="2"/>
  <c r="A77" i="15"/>
  <c r="X2" i="2" a="1"/>
  <c r="X2" i="2" s="1"/>
  <c r="T2" i="14" a="1"/>
  <c r="T2" i="14" s="1"/>
  <c r="I3" i="14" s="1"/>
  <c r="A44" i="15"/>
  <c r="A55" i="15"/>
  <c r="A66" i="15"/>
  <c r="A33" i="15"/>
  <c r="A110" i="15"/>
  <c r="A88" i="15"/>
  <c r="A88" i="13"/>
  <c r="A33" i="13"/>
  <c r="A121" i="15"/>
  <c r="A110" i="13"/>
  <c r="A99" i="15"/>
  <c r="A55" i="13"/>
  <c r="A199" i="13"/>
  <c r="A232" i="13"/>
  <c r="A144" i="13"/>
  <c r="A44" i="13"/>
  <c r="A99" i="13"/>
  <c r="A177" i="13"/>
  <c r="A155" i="13"/>
  <c r="A121" i="13"/>
  <c r="A166" i="13"/>
  <c r="A243" i="13"/>
  <c r="A66" i="13"/>
  <c r="A77" i="13"/>
  <c r="A210" i="13"/>
  <c r="A188" i="13"/>
  <c r="A22" i="13"/>
  <c r="A221" i="13"/>
  <c r="S102" i="2"/>
  <c r="S36" i="2"/>
  <c r="S80" i="2"/>
  <c r="S69" i="2"/>
  <c r="S47" i="2"/>
  <c r="S91" i="2"/>
  <c r="S58" i="2"/>
  <c r="S113" i="2"/>
  <c r="S25" i="2"/>
  <c r="I2" i="1"/>
  <c r="J21" i="2" l="1"/>
  <c r="S15" i="2" s="1"/>
  <c r="A22" i="2" s="1"/>
  <c r="J54" i="2"/>
  <c r="S48" i="2" s="1"/>
  <c r="A55" i="2" s="1"/>
  <c r="J65" i="2"/>
  <c r="S59" i="2" s="1"/>
  <c r="A66" i="2" s="1"/>
  <c r="J109" i="2"/>
  <c r="S103" i="2" s="1"/>
  <c r="A110" i="2" s="1"/>
  <c r="J76" i="2"/>
  <c r="S70" i="2" s="1"/>
  <c r="A77" i="2" s="1"/>
  <c r="J87" i="2"/>
  <c r="S81" i="2" s="1"/>
  <c r="A88" i="2" s="1"/>
  <c r="J98" i="2"/>
  <c r="S92" i="2" s="1"/>
  <c r="A99" i="2" s="1"/>
  <c r="J43" i="2"/>
  <c r="S37" i="2" s="1"/>
  <c r="A44" i="2" s="1"/>
  <c r="J32" i="2"/>
  <c r="S26" i="2" s="1"/>
  <c r="A33" i="2" s="1"/>
  <c r="J120" i="2"/>
  <c r="S114" i="2" s="1"/>
  <c r="A121" i="2" s="1"/>
  <c r="I5" i="2"/>
  <c r="G6" i="2" s="1"/>
  <c r="J209" i="2"/>
  <c r="S203" i="2" s="1"/>
  <c r="A210" i="2" s="1"/>
  <c r="J220" i="2"/>
  <c r="S214" i="2" s="1"/>
  <c r="A221" i="2" s="1"/>
  <c r="J187" i="2"/>
  <c r="S181" i="2" s="1"/>
  <c r="A188" i="2" s="1"/>
  <c r="J242" i="2"/>
  <c r="S236" i="2" s="1"/>
  <c r="A243" i="2" s="1"/>
  <c r="J198" i="2"/>
  <c r="S192" i="2" s="1"/>
  <c r="A199" i="2" s="1"/>
  <c r="J176" i="2"/>
  <c r="S170" i="2" s="1"/>
  <c r="A177" i="2" s="1"/>
  <c r="J165" i="2"/>
  <c r="S159" i="2" s="1"/>
  <c r="A166" i="2" s="1"/>
  <c r="J231" i="2"/>
  <c r="S225" i="2" s="1"/>
  <c r="A232" i="2" s="1"/>
  <c r="J154" i="2"/>
  <c r="S148" i="2" s="1"/>
  <c r="A155" i="2" s="1"/>
  <c r="J143" i="2"/>
  <c r="S137" i="2" s="1"/>
  <c r="A144" i="2" s="1"/>
  <c r="I127" i="2"/>
  <c r="G128" i="2" s="1"/>
  <c r="I125" i="14"/>
  <c r="J98" i="14"/>
  <c r="S92" i="14" s="1"/>
  <c r="A99" i="14" s="1"/>
  <c r="J54" i="14"/>
  <c r="S48" i="14" s="1"/>
  <c r="A55" i="14" s="1"/>
  <c r="J109" i="14"/>
  <c r="S103" i="14" s="1"/>
  <c r="A110" i="14" s="1"/>
  <c r="J43" i="14"/>
  <c r="S37" i="14" s="1"/>
  <c r="A44" i="14" s="1"/>
  <c r="J76" i="14"/>
  <c r="S70" i="14" s="1"/>
  <c r="A77" i="14" s="1"/>
  <c r="J87" i="14"/>
  <c r="S81" i="14" s="1"/>
  <c r="A88" i="14" s="1"/>
  <c r="J32" i="14"/>
  <c r="S26" i="14" s="1"/>
  <c r="A33" i="14" s="1"/>
  <c r="J120" i="14"/>
  <c r="S114" i="14" s="1"/>
  <c r="A121" i="14" s="1"/>
  <c r="J21" i="14"/>
  <c r="S15" i="14" s="1"/>
  <c r="A22" i="14" s="1"/>
  <c r="J65" i="14"/>
  <c r="S59" i="14" s="1"/>
  <c r="A66" i="14" s="1"/>
  <c r="I5" i="14"/>
  <c r="G6" i="14" s="1"/>
  <c r="I127" i="14" l="1"/>
  <c r="G128" i="14" s="1"/>
  <c r="J198" i="14"/>
  <c r="S192" i="14" s="1"/>
  <c r="A199" i="14" s="1"/>
  <c r="J154" i="14"/>
  <c r="S148" i="14" s="1"/>
  <c r="A155" i="14" s="1"/>
  <c r="J187" i="14"/>
  <c r="S181" i="14" s="1"/>
  <c r="A188" i="14" s="1"/>
  <c r="J209" i="14"/>
  <c r="S203" i="14" s="1"/>
  <c r="A210" i="14" s="1"/>
  <c r="J176" i="14"/>
  <c r="S170" i="14" s="1"/>
  <c r="A177" i="14" s="1"/>
  <c r="J242" i="14"/>
  <c r="S236" i="14" s="1"/>
  <c r="A243" i="14" s="1"/>
  <c r="J143" i="14"/>
  <c r="S137" i="14" s="1"/>
  <c r="A144" i="14" s="1"/>
  <c r="J165" i="14"/>
  <c r="S159" i="14" s="1"/>
  <c r="A166" i="14" s="1"/>
  <c r="J231" i="14"/>
  <c r="S225" i="14" s="1"/>
  <c r="A232" i="14" s="1"/>
  <c r="J220" i="14"/>
  <c r="S214" i="14" s="1"/>
  <c r="A221"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<sst xmlns="http://schemas.openxmlformats.org/spreadsheetml/2006/main" count="3786" uniqueCount="213">
  <si>
    <t>Project Number:</t>
  </si>
  <si>
    <t>Date:</t>
  </si>
  <si>
    <t>Designer Name:</t>
  </si>
  <si>
    <t xml:space="preserve">Determine Wind Zone </t>
  </si>
  <si>
    <t>Site Exposure:</t>
  </si>
  <si>
    <t>Lee Zone:</t>
  </si>
  <si>
    <t>Topographic Class:</t>
  </si>
  <si>
    <t>Class B- Rock</t>
  </si>
  <si>
    <t>Earthquake Zone and Subsoil Zone:</t>
  </si>
  <si>
    <t>Single</t>
  </si>
  <si>
    <t xml:space="preserve">Number of Storeys: </t>
  </si>
  <si>
    <t xml:space="preserve">Floor Loading: </t>
  </si>
  <si>
    <t>Foundation Type:</t>
  </si>
  <si>
    <t>A</t>
  </si>
  <si>
    <t>Exposed</t>
  </si>
  <si>
    <t>No</t>
  </si>
  <si>
    <t>Low</t>
  </si>
  <si>
    <t xml:space="preserve">Wind Bracing Demand---Subfloor </t>
  </si>
  <si>
    <t>Roof Weight:</t>
  </si>
  <si>
    <t>Roof Height Above Eaves:</t>
  </si>
  <si>
    <t>Light</t>
  </si>
  <si>
    <t>T1</t>
  </si>
  <si>
    <t>Roof Pitch(degrees):</t>
  </si>
  <si>
    <t>Across</t>
  </si>
  <si>
    <t>Along</t>
  </si>
  <si>
    <t>Building Length:</t>
  </si>
  <si>
    <t>Building Width:</t>
  </si>
  <si>
    <t>Urban</t>
  </si>
  <si>
    <t>BH</t>
  </si>
  <si>
    <t>RH</t>
  </si>
  <si>
    <t>m</t>
  </si>
  <si>
    <t>Wind Brace for subfloor</t>
  </si>
  <si>
    <t xml:space="preserve">Wind Bracing Demand---Single floor </t>
  </si>
  <si>
    <t>Upper floor to Apex</t>
  </si>
  <si>
    <t>Single and lower floor to Apex</t>
  </si>
  <si>
    <t>Along &amp; Across</t>
  </si>
  <si>
    <t>Medium</t>
  </si>
  <si>
    <t>Heavy</t>
  </si>
  <si>
    <t>Earthquake factor</t>
  </si>
  <si>
    <t>B</t>
  </si>
  <si>
    <t>C</t>
  </si>
  <si>
    <t>D</t>
  </si>
  <si>
    <t>E</t>
  </si>
  <si>
    <t>A1</t>
  </si>
  <si>
    <t>B1</t>
  </si>
  <si>
    <t>C1</t>
  </si>
  <si>
    <t>D1</t>
  </si>
  <si>
    <t>E1</t>
  </si>
  <si>
    <t>A2</t>
  </si>
  <si>
    <t>B3</t>
  </si>
  <si>
    <t>B2</t>
  </si>
  <si>
    <t>C2</t>
  </si>
  <si>
    <t>D2</t>
  </si>
  <si>
    <t>E2</t>
  </si>
  <si>
    <t>A3</t>
  </si>
  <si>
    <t>C3</t>
  </si>
  <si>
    <t>D3</t>
  </si>
  <si>
    <t>E4</t>
  </si>
  <si>
    <t>E3</t>
  </si>
  <si>
    <t>A4</t>
  </si>
  <si>
    <t>B4</t>
  </si>
  <si>
    <t>C4</t>
  </si>
  <si>
    <t>D4</t>
  </si>
  <si>
    <t>roof</t>
  </si>
  <si>
    <t>upper</t>
  </si>
  <si>
    <t>lower</t>
  </si>
  <si>
    <t>Sub</t>
  </si>
  <si>
    <t>pitch</t>
  </si>
  <si>
    <t>sub</t>
  </si>
  <si>
    <t>N/A</t>
  </si>
  <si>
    <t>single</t>
  </si>
  <si>
    <t>High</t>
  </si>
  <si>
    <t>Extra High</t>
  </si>
  <si>
    <t>Wind Zone</t>
  </si>
  <si>
    <t>T2</t>
  </si>
  <si>
    <t>T3</t>
  </si>
  <si>
    <t>T4</t>
  </si>
  <si>
    <t>Sheltered</t>
  </si>
  <si>
    <t>Open</t>
  </si>
  <si>
    <t>W</t>
  </si>
  <si>
    <t>SED</t>
  </si>
  <si>
    <t>Windfactor</t>
  </si>
  <si>
    <t>Very High</t>
  </si>
  <si>
    <t xml:space="preserve">Line </t>
  </si>
  <si>
    <t>Product</t>
  </si>
  <si>
    <t>Supplier</t>
  </si>
  <si>
    <t>Length(m)</t>
  </si>
  <si>
    <t>Angles(degrees)</t>
  </si>
  <si>
    <t>Date</t>
  </si>
  <si>
    <t>Version</t>
  </si>
  <si>
    <t>Reason</t>
  </si>
  <si>
    <t>Lower Storey Cladding Weight:</t>
  </si>
  <si>
    <t>Subsoil Classification:</t>
  </si>
  <si>
    <t>Upper Storey Cladding Weight:</t>
  </si>
  <si>
    <t>kPa</t>
  </si>
  <si>
    <t xml:space="preserve">Wind Zone: </t>
  </si>
  <si>
    <t>Wind Factor:</t>
  </si>
  <si>
    <t xml:space="preserve">Wind Region: </t>
  </si>
  <si>
    <t>Ground Roughness:</t>
  </si>
  <si>
    <t>Earthquake Factor:</t>
  </si>
  <si>
    <t>Wall Height Upper Storey:</t>
  </si>
  <si>
    <t>Subfloor Cladding Weight:</t>
  </si>
  <si>
    <t>Single Cladding Weight:</t>
  </si>
  <si>
    <t>Wind</t>
  </si>
  <si>
    <t>Earthquake</t>
  </si>
  <si>
    <t>%</t>
  </si>
  <si>
    <t>BU's</t>
  </si>
  <si>
    <t>Number of Bracing Line:</t>
  </si>
  <si>
    <t>Total Demand:</t>
  </si>
  <si>
    <t>Total Achieved:</t>
  </si>
  <si>
    <t>Percentage Achieved:</t>
  </si>
  <si>
    <t>Panel Height</t>
  </si>
  <si>
    <t>F</t>
  </si>
  <si>
    <t>G</t>
  </si>
  <si>
    <t>H</t>
  </si>
  <si>
    <t>J</t>
  </si>
  <si>
    <t>I</t>
  </si>
  <si>
    <t>Single Storey Along</t>
  </si>
  <si>
    <t>Single Storey Across</t>
  </si>
  <si>
    <t>Length(m) or No.</t>
  </si>
  <si>
    <t>Braced Piles</t>
  </si>
  <si>
    <t>Cantilever Piles</t>
  </si>
  <si>
    <t>Anchor Piles</t>
  </si>
  <si>
    <t>Annual Prob. of Exceedance</t>
  </si>
  <si>
    <t>1 in 1000(x1.3)</t>
  </si>
  <si>
    <t>1 in 2500(x1.8)</t>
  </si>
  <si>
    <t>1 in 500(Default)</t>
  </si>
  <si>
    <t>Ground to Lower or Single Floor:</t>
  </si>
  <si>
    <t>Wall Height Lower or Single Storey:</t>
  </si>
  <si>
    <t>General Building Specification</t>
  </si>
  <si>
    <t>Wind and EQ Zones</t>
  </si>
  <si>
    <t>EQ</t>
  </si>
  <si>
    <t>Masons 400 mm</t>
  </si>
  <si>
    <t>Masons 600 mm</t>
  </si>
  <si>
    <t>Masons Plastabrick Limited</t>
  </si>
  <si>
    <t>Wind capacity(BU/m)</t>
  </si>
  <si>
    <t>EQ capacity(BU/m)</t>
  </si>
  <si>
    <t xml:space="preserve">Supplier </t>
  </si>
  <si>
    <t>Masons 1200 mm</t>
  </si>
  <si>
    <t xml:space="preserve">Comments: 
</t>
  </si>
  <si>
    <t>Room in Roof Space:</t>
  </si>
  <si>
    <t xml:space="preserve">Room in space </t>
  </si>
  <si>
    <t>Lower</t>
  </si>
  <si>
    <t>Uppler</t>
  </si>
  <si>
    <t>Upper Storey Floor area:</t>
  </si>
  <si>
    <t xml:space="preserve"> Lower or Single Storey Floor area:</t>
  </si>
  <si>
    <t>EQ  sub</t>
  </si>
  <si>
    <t xml:space="preserve">Upper </t>
  </si>
  <si>
    <t>Subfloor Data Base</t>
  </si>
  <si>
    <t>Product Name:</t>
  </si>
  <si>
    <t>EQ Bracing Demand (BU's)</t>
  </si>
  <si>
    <t>Wind Bracing Demand (BU's)</t>
  </si>
  <si>
    <t>Company Name:</t>
  </si>
  <si>
    <t>Project Name:</t>
  </si>
  <si>
    <t>Address:</t>
  </si>
  <si>
    <t>EQ Bracing Demand---Lower Storey</t>
  </si>
  <si>
    <t>Wind Bracing Demand---Lower Storey</t>
  </si>
  <si>
    <t>Wind Bracing Demand---Upper Storey</t>
  </si>
  <si>
    <t xml:space="preserve">EQ Bracing Demand---Upper Storey </t>
  </si>
  <si>
    <t>Masonry wall (L/H&lt;0.75)</t>
  </si>
  <si>
    <t>Masonry wall (L/H&lt;1.5)</t>
  </si>
  <si>
    <t>Masonry wall(L/H&lt;3.0)</t>
  </si>
  <si>
    <t>Masonry wall (L/H&lt;4.5)</t>
  </si>
  <si>
    <t>Building Height errors</t>
  </si>
  <si>
    <t>External wall</t>
  </si>
  <si>
    <t>BU/m</t>
  </si>
  <si>
    <t>Minumum BU's requirement:</t>
  </si>
  <si>
    <t>Maxmimum 10 Bracing Lines.</t>
  </si>
  <si>
    <t>External Length(m):</t>
  </si>
  <si>
    <t xml:space="preserve">Achieved BU's </t>
  </si>
  <si>
    <t>Total Achieved BU's for this Line:</t>
  </si>
  <si>
    <t>Two Storey Upper Level Along</t>
  </si>
  <si>
    <t>Two Storey Upper Level Across</t>
  </si>
  <si>
    <t>EQ Bracing Demand---Subfloor</t>
  </si>
  <si>
    <t>EQ Bracing Demand---Single Storey</t>
  </si>
  <si>
    <t>Two Storey Lower Level Across</t>
  </si>
  <si>
    <t>Two Storey Lower Level Along</t>
  </si>
  <si>
    <t>Subfloor Along</t>
  </si>
  <si>
    <t>Subfloor Across</t>
  </si>
  <si>
    <t xml:space="preserve"> </t>
  </si>
  <si>
    <t>Class A- Rock</t>
  </si>
  <si>
    <t>Class C- Shallow</t>
  </si>
  <si>
    <t>Class D- Deep to Very soft</t>
  </si>
  <si>
    <t>Class E- Deep to Very soft</t>
  </si>
  <si>
    <t>Building Height (FFL to Apex):</t>
  </si>
  <si>
    <t>M</t>
  </si>
  <si>
    <t>N</t>
  </si>
  <si>
    <t>O</t>
  </si>
  <si>
    <t>P</t>
  </si>
  <si>
    <t>Q</t>
  </si>
  <si>
    <t>R</t>
  </si>
  <si>
    <t>S</t>
  </si>
  <si>
    <t>T</t>
  </si>
  <si>
    <t>U</t>
  </si>
  <si>
    <t>V</t>
  </si>
  <si>
    <t>V5</t>
  </si>
  <si>
    <t>29-11-2022</t>
  </si>
  <si>
    <t>First update to client's comments</t>
  </si>
  <si>
    <t xml:space="preserve">No. </t>
  </si>
  <si>
    <t>1.</t>
  </si>
  <si>
    <t>2.</t>
  </si>
  <si>
    <t>3.</t>
  </si>
  <si>
    <t>4.</t>
  </si>
  <si>
    <t>5.</t>
  </si>
  <si>
    <t>6.</t>
  </si>
  <si>
    <t>Engineer</t>
  </si>
  <si>
    <t xml:space="preserve">    </t>
  </si>
  <si>
    <t>V6.0</t>
  </si>
  <si>
    <t>Comment from Client(15/12/2022)</t>
  </si>
  <si>
    <t>Yes</t>
  </si>
  <si>
    <t>Slab</t>
  </si>
  <si>
    <r>
      <t>m</t>
    </r>
    <r>
      <rPr>
        <b/>
        <vertAlign val="superscript"/>
        <sz val="12"/>
        <color theme="1"/>
        <rFont val="Calibri"/>
        <family val="2"/>
        <scheme val="minor"/>
      </rPr>
      <t>2</t>
    </r>
  </si>
  <si>
    <t>Double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</si>
</sst>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Calibri"/>
      <family val="2"/>
      <scheme val="minor"/>
    </font>
    <font>
      <b/>
      <sz val="11"/>
      <color theme="1"/>
      <name val="Calibri"/>
      <family val="2"/>
      <scheme val="minor"/>
    </font>
    <font>
      <b/>
      <sz val="20"/>
      <color theme="1"/>
      <name val="Calibri"/>
      <family val="2"/>
      <scheme val="minor"/>
    </font>
    <font>
      <sz val="8"/>
      <name val="Calibri"/>
      <family val="2"/>
      <scheme val="minor"/>
    </font>
    <font>
      <b/>
      <sz val="10"/>
      <color indexed="10"/>
      <name val="Arial"/>
      <family val="2"/>
    </font>
    <font>
      <b/>
      <sz val="24"/>
      <color theme="1"/>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2"/>
      <color rgb="FFFF0000"/>
      <name val="Calibri"/>
      <family val="2"/>
      <scheme val="minor"/>
    </font>
    <font>
      <sz val="12"/>
      <name val="Calibri"/>
      <family val="2"/>
      <scheme val="minor"/>
    </font>
    <font>
      <b/>
      <sz val="12"/>
      <name val="Calibri"/>
      <family val="2"/>
      <scheme val="minor"/>
    </font>
    <font>
      <b/>
      <vertAlign val="superscript"/>
      <sz val="12"/>
      <color theme="1"/>
      <name val="Calibri"/>
      <family val="2"/>
      <scheme val="minor"/>
    </font>
    <font>
      <sz val="12"/>
      <color rgb="FFFF0000"/>
      <name val="Calibri"/>
      <family val="2"/>
      <scheme val="minor"/>
    </font>
  </fonts>
  <fills count="13">
    <fill>
      <patternFill patternType="none"/>
    </fill>
    <fill>
      <patternFill patternType="gray125"/>
    </fill>
    <fill>
      <patternFill patternType="solid">
        <fgColor rgb="FF00B0F0"/>
        <bgColor indexed="64"/>
      </patternFill>
    </fill>
    <fill>
      <patternFill patternType="solid">
        <fgColor theme="6" tint="0.39997558519241921"/>
        <bgColor indexed="64"/>
      </patternFill>
    </fill>
    <fill>
      <patternFill patternType="solid">
        <fgColor theme="0"/>
        <bgColor indexed="64"/>
      </patternFill>
    </fill>
    <fill>
      <patternFill patternType="solid">
        <fgColor theme="2" tint="-9.9978637043366805E-2"/>
        <bgColor indexed="64"/>
      </patternFill>
    </fill>
    <fill>
      <patternFill patternType="solid">
        <fgColor indexed="9"/>
        <bgColor indexed="64"/>
      </patternFill>
    </fill>
    <fill>
      <patternFill patternType="solid">
        <fgColor theme="2" tint="-0.249977111117893"/>
        <bgColor indexed="64"/>
      </patternFill>
    </fill>
    <fill>
      <patternFill patternType="solid">
        <fgColor rgb="FFD2F9FE"/>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1" tint="0.34998626667073579"/>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38">
    <xf numFmtId="0" fontId="0" fillId="0" borderId="0" xfId="0"/>
    <xf numFmtId="0" fontId="0" fillId="0" borderId="0" xfId="0" applyAlignment="1">
      <alignment horizontal="right"/>
    </xf>
    <xf numFmtId="0" fontId="1" fillId="0" borderId="0" xfId="0" applyFont="1" applyAlignment="1">
      <alignment horizontal="right"/>
    </xf>
    <xf numFmtId="0" fontId="0" fillId="0" borderId="0" xfId="0" applyAlignment="1">
      <alignment horizontal="center"/>
    </xf>
    <xf numFmtId="1" fontId="0" fillId="0" borderId="0" xfId="0" applyNumberFormat="1"/>
    <xf numFmtId="0" fontId="4" fillId="6" borderId="0" xfId="0" applyFont="1" applyFill="1" applyAlignment="1" applyProtection="1">
      <alignment horizontal="left" vertical="center" wrapText="1"/>
      <protection hidden="1"/>
    </xf>
    <xf numFmtId="0" fontId="4" fillId="6" borderId="13" xfId="0" applyFont="1" applyFill="1" applyBorder="1" applyAlignment="1" applyProtection="1">
      <alignment horizontal="left" vertical="center" wrapText="1"/>
      <protection hidden="1"/>
    </xf>
    <xf numFmtId="0" fontId="2" fillId="10" borderId="0" xfId="0" applyFont="1" applyFill="1" applyAlignment="1">
      <alignment vertical="center"/>
    </xf>
    <xf numFmtId="0" fontId="0" fillId="10" borderId="0" xfId="0" applyFill="1"/>
    <xf numFmtId="1" fontId="0" fillId="10" borderId="0" xfId="0" applyNumberFormat="1" applyFill="1"/>
    <xf numFmtId="2" fontId="0" fillId="10" borderId="0" xfId="0" applyNumberFormat="1" applyFill="1"/>
    <xf numFmtId="0" fontId="0" fillId="10" borderId="0" xfId="0" quotePrefix="1" applyFill="1"/>
    <xf numFmtId="0" fontId="0" fillId="10" borderId="0" xfId="0" applyFill="1" applyAlignment="1">
      <alignment horizontal="right"/>
    </xf>
    <xf numFmtId="0" fontId="0" fillId="0" borderId="1" xfId="0" applyBorder="1"/>
    <xf numFmtId="0" fontId="1" fillId="0" borderId="0" xfId="0" applyFont="1" applyAlignment="1">
      <alignment vertical="center"/>
    </xf>
    <xf numFmtId="0" fontId="6" fillId="8" borderId="1" xfId="0" applyFont="1" applyFill="1" applyBorder="1"/>
    <xf numFmtId="164" fontId="8" fillId="8" borderId="1" xfId="0" applyNumberFormat="1" applyFont="1" applyFill="1" applyBorder="1" applyAlignment="1">
      <alignment horizontal="center" vertical="center"/>
    </xf>
    <xf numFmtId="1" fontId="8" fillId="8" borderId="1" xfId="0" applyNumberFormat="1" applyFont="1" applyFill="1" applyBorder="1" applyAlignment="1">
      <alignment horizontal="center" vertical="center"/>
    </xf>
    <xf numFmtId="0" fontId="8" fillId="8" borderId="1" xfId="0" applyFont="1" applyFill="1" applyBorder="1" applyAlignment="1">
      <alignment horizontal="center" vertical="center"/>
    </xf>
    <xf numFmtId="2" fontId="8" fillId="8" borderId="1" xfId="0" applyNumberFormat="1" applyFont="1" applyFill="1" applyBorder="1" applyAlignment="1">
      <alignment horizontal="center" vertical="center"/>
    </xf>
    <xf numFmtId="49" fontId="11" fillId="0" borderId="1" xfId="0" applyNumberFormat="1" applyFont="1" applyBorder="1" applyAlignment="1">
      <alignment horizontal="center" vertical="center"/>
    </xf>
    <xf numFmtId="0" fontId="1" fillId="0" borderId="9" xfId="0" applyFont="1" applyBorder="1" applyAlignment="1">
      <alignment vertical="center"/>
    </xf>
    <xf numFmtId="14" fontId="0" fillId="10" borderId="0" xfId="0" applyNumberFormat="1" applyFill="1"/>
    <xf numFmtId="0" fontId="7" fillId="0" borderId="1" xfId="0" applyFont="1" applyBorder="1" applyAlignment="1">
      <alignment horizontal="center"/>
    </xf>
    <xf numFmtId="0" fontId="7" fillId="0" borderId="1" xfId="0" applyFont="1" applyBorder="1" applyAlignment="1">
      <alignment horizontal="center" vertical="center"/>
    </xf>
    <xf numFmtId="0" fontId="7" fillId="0" borderId="1" xfId="0" applyFont="1" applyBorder="1" applyAlignment="1">
      <alignment horizontal="center" vertical="top"/>
    </xf>
    <xf numFmtId="164" fontId="7" fillId="8" borderId="1" xfId="0" applyNumberFormat="1" applyFont="1" applyFill="1" applyBorder="1" applyAlignment="1" applyProtection="1">
      <alignment horizontal="center" vertical="center"/>
      <protection locked="0"/>
    </xf>
    <xf numFmtId="49" fontId="7" fillId="0" borderId="1" xfId="0" applyNumberFormat="1" applyFont="1" applyBorder="1" applyAlignment="1" applyProtection="1">
      <alignment horizontal="center" vertical="center"/>
      <protection locked="0"/>
    </xf>
    <xf numFmtId="0" fontId="7" fillId="8" borderId="1" xfId="0" applyFont="1" applyFill="1" applyBorder="1" applyAlignment="1">
      <alignment horizontal="center" vertical="top"/>
    </xf>
    <xf numFmtId="0" fontId="7" fillId="0" borderId="1" xfId="0" applyFont="1" applyBorder="1" applyAlignment="1">
      <alignment vertical="top"/>
    </xf>
    <xf numFmtId="0" fontId="7" fillId="0" borderId="6" xfId="0" applyFont="1" applyBorder="1" applyAlignment="1">
      <alignment vertical="top"/>
    </xf>
    <xf numFmtId="0" fontId="7" fillId="0" borderId="7" xfId="0" applyFont="1" applyBorder="1" applyAlignment="1">
      <alignment vertical="top"/>
    </xf>
    <xf numFmtId="0" fontId="7" fillId="0" borderId="8" xfId="0" applyFont="1" applyBorder="1" applyAlignment="1">
      <alignment vertical="top"/>
    </xf>
    <xf numFmtId="0" fontId="7" fillId="0" borderId="1" xfId="0" applyFont="1" applyBorder="1"/>
    <xf numFmtId="0" fontId="7" fillId="0" borderId="1" xfId="0" applyFont="1" applyBorder="1" applyAlignment="1">
      <alignment wrapText="1"/>
    </xf>
    <xf numFmtId="0" fontId="7" fillId="0" borderId="1" xfId="0" applyFont="1" applyBorder="1" applyAlignment="1">
      <alignment horizontal="right" vertical="center" indent="1"/>
    </xf>
    <xf numFmtId="0" fontId="8" fillId="10" borderId="0" xfId="0" applyFont="1" applyFill="1"/>
    <xf numFmtId="1" fontId="8" fillId="0" borderId="1" xfId="0" applyNumberFormat="1" applyFont="1" applyBorder="1" applyAlignment="1">
      <alignment horizontal="center" vertical="center"/>
    </xf>
    <xf numFmtId="0" fontId="0" fillId="0" borderId="0" xfId="0" applyAlignment="1">
      <alignment horizontal="center" vertical="center"/>
    </xf>
    <xf numFmtId="0" fontId="0" fillId="10" borderId="0" xfId="0" applyFill="1" applyAlignment="1">
      <alignment horizontal="center" vertical="center"/>
    </xf>
    <xf numFmtId="0" fontId="7" fillId="0" borderId="19" xfId="0" applyFont="1" applyBorder="1"/>
    <xf numFmtId="0" fontId="7" fillId="0" borderId="19" xfId="0" applyFont="1" applyBorder="1" applyAlignment="1">
      <alignment horizontal="center" vertical="center"/>
    </xf>
    <xf numFmtId="0" fontId="7" fillId="0" borderId="18" xfId="0" applyFont="1" applyBorder="1"/>
    <xf numFmtId="1" fontId="8" fillId="0" borderId="19" xfId="0" applyNumberFormat="1" applyFont="1" applyBorder="1" applyAlignment="1">
      <alignment horizontal="center" vertical="center"/>
    </xf>
    <xf numFmtId="0" fontId="7" fillId="0" borderId="18" xfId="0" applyFont="1" applyBorder="1" applyAlignment="1">
      <alignment horizontal="right" vertical="center" indent="1"/>
    </xf>
    <xf numFmtId="0" fontId="0" fillId="12" borderId="0" xfId="0" applyFill="1"/>
    <xf numFmtId="0" fontId="2" fillId="12" borderId="0" xfId="0" applyFont="1" applyFill="1" applyAlignment="1">
      <alignment vertical="center"/>
    </xf>
    <xf numFmtId="1" fontId="8" fillId="10" borderId="0" xfId="0" applyNumberFormat="1" applyFont="1" applyFill="1"/>
    <xf numFmtId="2" fontId="8" fillId="10" borderId="0" xfId="0" applyNumberFormat="1" applyFont="1" applyFill="1"/>
    <xf numFmtId="0" fontId="8" fillId="0" borderId="0" xfId="0" applyFont="1"/>
    <xf numFmtId="0" fontId="7" fillId="12" borderId="0" xfId="0" applyFont="1" applyFill="1" applyAlignment="1">
      <alignment vertical="center"/>
    </xf>
    <xf numFmtId="0" fontId="8" fillId="12" borderId="0" xfId="0" applyFont="1" applyFill="1"/>
    <xf numFmtId="0" fontId="1" fillId="8" borderId="1" xfId="0" applyFont="1" applyFill="1" applyBorder="1" applyAlignment="1">
      <alignment vertical="center"/>
    </xf>
    <xf numFmtId="0" fontId="0" fillId="8" borderId="1" xfId="0" applyFill="1" applyBorder="1"/>
    <xf numFmtId="0" fontId="0" fillId="0" borderId="1" xfId="0" applyBorder="1" applyAlignment="1">
      <alignment vertical="center"/>
    </xf>
    <xf numFmtId="0" fontId="7" fillId="9" borderId="1" xfId="0" applyFont="1" applyFill="1" applyBorder="1" applyAlignment="1">
      <alignment horizontal="left" vertical="center"/>
    </xf>
    <xf numFmtId="0" fontId="8" fillId="0" borderId="1" xfId="0" applyFont="1" applyBorder="1" applyAlignment="1">
      <alignment horizontal="center"/>
    </xf>
    <xf numFmtId="1" fontId="8" fillId="0" borderId="1" xfId="0" applyNumberFormat="1" applyFont="1" applyBorder="1" applyAlignment="1">
      <alignment horizontal="center"/>
    </xf>
    <xf numFmtId="0" fontId="8" fillId="2" borderId="14" xfId="0" applyFont="1" applyFill="1" applyBorder="1" applyAlignment="1">
      <alignment horizontal="center"/>
    </xf>
    <xf numFmtId="0" fontId="7" fillId="5" borderId="1" xfId="0" applyFont="1" applyFill="1" applyBorder="1" applyAlignment="1">
      <alignment horizontal="right" vertical="top"/>
    </xf>
    <xf numFmtId="0" fontId="7" fillId="0" borderId="3" xfId="0" applyFont="1" applyBorder="1" applyAlignment="1">
      <alignment horizontal="center"/>
    </xf>
    <xf numFmtId="0" fontId="7" fillId="0" borderId="4"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center"/>
    </xf>
    <xf numFmtId="0" fontId="7" fillId="0" borderId="5" xfId="0" applyFont="1" applyBorder="1" applyAlignment="1">
      <alignment horizontal="center"/>
    </xf>
    <xf numFmtId="0" fontId="7" fillId="0" borderId="12" xfId="0" applyFont="1" applyBorder="1" applyAlignment="1">
      <alignment horizontal="center"/>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164" fontId="7" fillId="8" borderId="1" xfId="0" applyNumberFormat="1" applyFont="1" applyFill="1" applyBorder="1" applyAlignment="1" applyProtection="1">
      <alignment horizontal="center" vertical="center"/>
      <protection locked="0"/>
    </xf>
    <xf numFmtId="0" fontId="7" fillId="8" borderId="1" xfId="0" applyFont="1" applyFill="1" applyBorder="1" applyAlignment="1" applyProtection="1">
      <alignment horizontal="center"/>
      <protection locked="0"/>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5"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14" fillId="0" borderId="8" xfId="0" applyFont="1" applyBorder="1" applyAlignment="1">
      <alignment horizontal="left"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2" fillId="8" borderId="1" xfId="0" applyFont="1" applyFill="1" applyBorder="1" applyAlignment="1" applyProtection="1">
      <alignment horizontal="center"/>
      <protection locked="0"/>
    </xf>
    <xf numFmtId="0" fontId="12" fillId="8" borderId="1" xfId="0" applyFont="1" applyFill="1" applyBorder="1" applyAlignment="1" applyProtection="1">
      <alignment horizontal="center" vertical="top"/>
      <protection locked="0"/>
    </xf>
    <xf numFmtId="0" fontId="1" fillId="0" borderId="0" xfId="0" applyFont="1" applyAlignment="1">
      <alignment horizontal="right"/>
    </xf>
    <xf numFmtId="0" fontId="7" fillId="2" borderId="1" xfId="0" applyFont="1" applyFill="1" applyBorder="1" applyAlignment="1">
      <alignment horizontal="center"/>
    </xf>
    <xf numFmtId="0" fontId="10" fillId="0" borderId="0" xfId="0" applyFont="1" applyAlignment="1">
      <alignment horizontal="center" vertical="top" wrapText="1"/>
    </xf>
    <xf numFmtId="0" fontId="7" fillId="8" borderId="1" xfId="0" applyFont="1" applyFill="1" applyBorder="1" applyAlignment="1">
      <alignment horizontal="center"/>
    </xf>
    <xf numFmtId="0" fontId="7" fillId="9" borderId="1" xfId="0" applyFont="1" applyFill="1" applyBorder="1" applyAlignment="1">
      <alignment horizontal="right" vertical="top"/>
    </xf>
    <xf numFmtId="0" fontId="7" fillId="3" borderId="1" xfId="0" applyFont="1" applyFill="1" applyBorder="1" applyAlignment="1">
      <alignment horizontal="right"/>
    </xf>
    <xf numFmtId="0" fontId="0" fillId="0" borderId="0" xfId="0" applyAlignment="1">
      <alignment horizontal="center"/>
    </xf>
    <xf numFmtId="0" fontId="7" fillId="0" borderId="1" xfId="0" applyFont="1" applyBorder="1" applyAlignment="1">
      <alignment horizontal="right" vertical="center"/>
    </xf>
    <xf numFmtId="0" fontId="7" fillId="0" borderId="1" xfId="0" applyFont="1" applyBorder="1" applyAlignment="1" applyProtection="1">
      <alignment horizontal="center" vertical="center"/>
      <protection locked="0"/>
    </xf>
    <xf numFmtId="0" fontId="7" fillId="0" borderId="1" xfId="0" applyFont="1" applyBorder="1" applyAlignment="1">
      <alignment horizontal="center" vertical="center"/>
    </xf>
    <xf numFmtId="0" fontId="7" fillId="0" borderId="9" xfId="0" applyFont="1" applyBorder="1" applyAlignment="1">
      <alignment horizontal="right" vertical="center"/>
    </xf>
    <xf numFmtId="0" fontId="7" fillId="0" borderId="10" xfId="0" applyFont="1" applyBorder="1" applyAlignment="1">
      <alignment horizontal="right" vertical="center"/>
    </xf>
    <xf numFmtId="0" fontId="7" fillId="0" borderId="11" xfId="0" applyFont="1" applyBorder="1" applyAlignment="1">
      <alignment horizontal="right" vertical="center"/>
    </xf>
    <xf numFmtId="0" fontId="8" fillId="2" borderId="1" xfId="0" applyFont="1" applyFill="1" applyBorder="1" applyAlignment="1">
      <alignment horizontal="center"/>
    </xf>
    <xf numFmtId="0" fontId="7" fillId="0" borderId="1" xfId="0" applyFont="1" applyBorder="1" applyAlignment="1">
      <alignment horizontal="left" vertical="center"/>
    </xf>
    <xf numFmtId="1" fontId="7" fillId="0" borderId="9" xfId="0" applyNumberFormat="1" applyFont="1" applyBorder="1" applyAlignment="1">
      <alignment horizontal="left" vertical="center"/>
    </xf>
    <xf numFmtId="1" fontId="7" fillId="0" borderId="10" xfId="0" applyNumberFormat="1" applyFont="1" applyBorder="1" applyAlignment="1">
      <alignment horizontal="left" vertical="center"/>
    </xf>
    <xf numFmtId="1" fontId="7" fillId="0" borderId="11" xfId="0" applyNumberFormat="1" applyFont="1" applyBorder="1" applyAlignment="1">
      <alignment horizontal="left" vertical="center"/>
    </xf>
    <xf numFmtId="14" fontId="7" fillId="0" borderId="9" xfId="0" applyNumberFormat="1" applyFont="1" applyBorder="1" applyAlignment="1" applyProtection="1">
      <alignment horizontal="center" vertical="center"/>
      <protection locked="0"/>
    </xf>
    <xf numFmtId="14" fontId="7" fillId="0" borderId="10" xfId="0" applyNumberFormat="1" applyFont="1" applyBorder="1" applyAlignment="1" applyProtection="1">
      <alignment horizontal="center" vertical="center"/>
      <protection locked="0"/>
    </xf>
    <xf numFmtId="14" fontId="7" fillId="0" borderId="11" xfId="0" applyNumberFormat="1" applyFont="1" applyBorder="1" applyAlignment="1" applyProtection="1">
      <alignment horizontal="center" vertical="center"/>
      <protection locked="0"/>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8" fillId="0" borderId="1" xfId="0" applyFont="1" applyBorder="1" applyAlignment="1">
      <alignment horizontal="center" vertical="center"/>
    </xf>
    <xf numFmtId="0" fontId="7" fillId="5" borderId="14" xfId="0" applyFont="1" applyFill="1" applyBorder="1" applyAlignment="1">
      <alignment horizontal="right" vertical="top"/>
    </xf>
    <xf numFmtId="0" fontId="7" fillId="8" borderId="14" xfId="0" applyFont="1" applyFill="1" applyBorder="1" applyAlignment="1" applyProtection="1">
      <alignment horizontal="center"/>
      <protection locked="0"/>
    </xf>
    <xf numFmtId="0" fontId="7" fillId="4" borderId="1" xfId="0" applyFont="1" applyFill="1" applyBorder="1" applyAlignment="1">
      <alignment horizontal="center"/>
    </xf>
    <xf numFmtId="164" fontId="7" fillId="8" borderId="1" xfId="0" applyNumberFormat="1" applyFont="1" applyFill="1" applyBorder="1" applyAlignment="1" applyProtection="1">
      <alignment horizontal="center"/>
      <protection locked="0"/>
    </xf>
    <xf numFmtId="0" fontId="7" fillId="0" borderId="7" xfId="0" applyFont="1" applyBorder="1" applyAlignment="1">
      <alignment horizontal="center"/>
    </xf>
    <xf numFmtId="0" fontId="7" fillId="0" borderId="8" xfId="0" applyFont="1" applyBorder="1" applyAlignment="1">
      <alignment horizontal="center"/>
    </xf>
    <xf numFmtId="0" fontId="10" fillId="0" borderId="3" xfId="0" applyFont="1" applyBorder="1" applyAlignment="1">
      <alignment horizontal="center" vertical="top" wrapText="1"/>
    </xf>
    <xf numFmtId="0" fontId="10" fillId="0" borderId="4" xfId="0" applyFont="1" applyBorder="1" applyAlignment="1">
      <alignment horizontal="center" vertical="top" wrapText="1"/>
    </xf>
    <xf numFmtId="0" fontId="10" fillId="0" borderId="5" xfId="0" applyFont="1" applyBorder="1" applyAlignment="1">
      <alignment horizontal="center" vertical="top" wrapText="1"/>
    </xf>
    <xf numFmtId="0" fontId="10" fillId="0" borderId="2" xfId="0" applyFont="1" applyBorder="1" applyAlignment="1">
      <alignment horizontal="center" vertical="top" wrapText="1"/>
    </xf>
    <xf numFmtId="0" fontId="10" fillId="0" borderId="12" xfId="0" applyFont="1" applyBorder="1" applyAlignment="1">
      <alignment horizontal="center" vertical="top" wrapText="1"/>
    </xf>
    <xf numFmtId="0" fontId="10" fillId="0" borderId="6" xfId="0" applyFont="1" applyBorder="1" applyAlignment="1">
      <alignment horizontal="center" vertical="top" wrapText="1"/>
    </xf>
    <xf numFmtId="0" fontId="10" fillId="0" borderId="7" xfId="0" applyFont="1" applyBorder="1" applyAlignment="1">
      <alignment horizontal="center" vertical="top" wrapText="1"/>
    </xf>
    <xf numFmtId="0" fontId="10" fillId="0" borderId="8" xfId="0" applyFont="1" applyBorder="1" applyAlignment="1">
      <alignment horizontal="center" vertical="top" wrapText="1"/>
    </xf>
    <xf numFmtId="1" fontId="8" fillId="0" borderId="9" xfId="0" applyNumberFormat="1" applyFont="1" applyBorder="1" applyAlignment="1">
      <alignment horizontal="center"/>
    </xf>
    <xf numFmtId="1" fontId="8" fillId="0" borderId="10" xfId="0" applyNumberFormat="1" applyFont="1" applyBorder="1" applyAlignment="1">
      <alignment horizontal="center"/>
    </xf>
    <xf numFmtId="1" fontId="8" fillId="0" borderId="11" xfId="0" applyNumberFormat="1" applyFont="1" applyBorder="1" applyAlignment="1">
      <alignment horizontal="center"/>
    </xf>
    <xf numFmtId="0" fontId="8" fillId="0" borderId="9" xfId="0" applyFont="1" applyBorder="1" applyAlignment="1">
      <alignment horizontal="center"/>
    </xf>
    <xf numFmtId="0" fontId="8" fillId="0" borderId="10" xfId="0" applyFont="1" applyBorder="1" applyAlignment="1">
      <alignment horizontal="center"/>
    </xf>
    <xf numFmtId="0" fontId="8" fillId="0" borderId="11" xfId="0" applyFont="1" applyBorder="1" applyAlignment="1">
      <alignment horizontal="center"/>
    </xf>
    <xf numFmtId="0" fontId="7" fillId="0" borderId="1" xfId="0" applyFont="1" applyBorder="1" applyAlignment="1">
      <alignment horizontal="center"/>
    </xf>
    <xf numFmtId="1" fontId="11" fillId="0" borderId="1" xfId="0" applyNumberFormat="1" applyFont="1" applyBorder="1" applyAlignment="1">
      <alignment horizontal="center"/>
    </xf>
    <xf numFmtId="0" fontId="10" fillId="0" borderId="3" xfId="0" applyFont="1" applyBorder="1" applyAlignment="1">
      <alignment horizontal="left" vertical="top" wrapText="1"/>
    </xf>
    <xf numFmtId="0" fontId="14" fillId="0" borderId="4" xfId="0" applyFont="1" applyBorder="1" applyAlignment="1">
      <alignment horizontal="left" vertical="top" wrapText="1"/>
    </xf>
    <xf numFmtId="0" fontId="14" fillId="0" borderId="5" xfId="0" applyFont="1" applyBorder="1" applyAlignment="1">
      <alignment horizontal="left" vertical="top" wrapText="1"/>
    </xf>
    <xf numFmtId="0" fontId="14" fillId="0" borderId="2" xfId="0" applyFont="1" applyBorder="1" applyAlignment="1">
      <alignment horizontal="left" vertical="top" wrapText="1"/>
    </xf>
    <xf numFmtId="0" fontId="14" fillId="0" borderId="0" xfId="0" applyFont="1" applyAlignment="1">
      <alignment horizontal="left" vertical="top" wrapText="1"/>
    </xf>
    <xf numFmtId="0" fontId="14" fillId="0" borderId="12" xfId="0" applyFont="1" applyBorder="1" applyAlignment="1">
      <alignment horizontal="left" vertical="top" wrapText="1"/>
    </xf>
    <xf numFmtId="0" fontId="14" fillId="0" borderId="6" xfId="0" applyFont="1" applyBorder="1" applyAlignment="1">
      <alignment horizontal="left" vertical="top" wrapText="1"/>
    </xf>
    <xf numFmtId="0" fontId="14" fillId="0" borderId="7" xfId="0" applyFont="1" applyBorder="1" applyAlignment="1">
      <alignment horizontal="left" vertical="top" wrapText="1"/>
    </xf>
    <xf numFmtId="0" fontId="14" fillId="0" borderId="8" xfId="0" applyFont="1" applyBorder="1" applyAlignment="1">
      <alignment horizontal="left" vertical="top" wrapText="1"/>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1" fontId="7" fillId="0" borderId="9" xfId="0" applyNumberFormat="1" applyFont="1" applyBorder="1" applyAlignment="1">
      <alignment horizontal="center"/>
    </xf>
    <xf numFmtId="1" fontId="7" fillId="0" borderId="11" xfId="0" applyNumberFormat="1" applyFont="1" applyBorder="1" applyAlignment="1">
      <alignment horizontal="center"/>
    </xf>
    <xf numFmtId="1" fontId="7" fillId="0" borderId="21" xfId="0" applyNumberFormat="1" applyFont="1" applyBorder="1" applyAlignment="1">
      <alignment horizontal="center"/>
    </xf>
    <xf numFmtId="0" fontId="7" fillId="0" borderId="9" xfId="0" applyFont="1" applyBorder="1" applyAlignment="1">
      <alignment horizontal="center"/>
    </xf>
    <xf numFmtId="0" fontId="7" fillId="0" borderId="11" xfId="0" applyFont="1" applyBorder="1" applyAlignment="1">
      <alignment horizontal="center"/>
    </xf>
    <xf numFmtId="0" fontId="7" fillId="0" borderId="21" xfId="0" applyFont="1" applyBorder="1" applyAlignment="1">
      <alignment horizontal="center"/>
    </xf>
    <xf numFmtId="0" fontId="10" fillId="0" borderId="22" xfId="0" applyFont="1" applyBorder="1" applyAlignment="1">
      <alignment horizontal="right" vertical="center"/>
    </xf>
    <xf numFmtId="0" fontId="10" fillId="0" borderId="7" xfId="0" applyFont="1" applyBorder="1" applyAlignment="1">
      <alignment horizontal="right" vertical="center"/>
    </xf>
    <xf numFmtId="0" fontId="10" fillId="0" borderId="23" xfId="0" applyFont="1" applyBorder="1" applyAlignment="1">
      <alignment horizontal="right" vertical="center"/>
    </xf>
    <xf numFmtId="0" fontId="8" fillId="7" borderId="20" xfId="0" applyFont="1" applyFill="1" applyBorder="1" applyAlignment="1">
      <alignment horizontal="center"/>
    </xf>
    <xf numFmtId="0" fontId="8" fillId="7" borderId="10" xfId="0" applyFont="1" applyFill="1" applyBorder="1" applyAlignment="1">
      <alignment horizontal="center"/>
    </xf>
    <xf numFmtId="0" fontId="8" fillId="7" borderId="21" xfId="0" applyFont="1" applyFill="1" applyBorder="1" applyAlignment="1">
      <alignment horizontal="center"/>
    </xf>
    <xf numFmtId="0" fontId="7" fillId="0" borderId="18" xfId="0" applyFont="1" applyBorder="1" applyAlignment="1">
      <alignment horizontal="center" vertical="center"/>
    </xf>
    <xf numFmtId="0" fontId="7" fillId="8" borderId="9" xfId="0" applyFont="1" applyFill="1" applyBorder="1" applyAlignment="1">
      <alignment horizontal="center" vertical="center"/>
    </xf>
    <xf numFmtId="0" fontId="7" fillId="8" borderId="11" xfId="0" applyFont="1" applyFill="1" applyBorder="1" applyAlignment="1">
      <alignment horizontal="center" vertical="center"/>
    </xf>
    <xf numFmtId="0" fontId="8" fillId="11" borderId="24" xfId="0" applyFont="1" applyFill="1" applyBorder="1" applyAlignment="1">
      <alignment horizontal="center"/>
    </xf>
    <xf numFmtId="0" fontId="8" fillId="11" borderId="25" xfId="0" applyFont="1" applyFill="1" applyBorder="1" applyAlignment="1">
      <alignment horizontal="center"/>
    </xf>
    <xf numFmtId="0" fontId="8" fillId="11" borderId="26" xfId="0" applyFont="1" applyFill="1" applyBorder="1" applyAlignment="1">
      <alignment horizontal="center"/>
    </xf>
    <xf numFmtId="0" fontId="7" fillId="9" borderId="18" xfId="0" applyFont="1" applyFill="1" applyBorder="1" applyAlignment="1">
      <alignment horizontal="right" vertical="center"/>
    </xf>
    <xf numFmtId="0" fontId="7" fillId="9" borderId="1" xfId="0" applyFont="1" applyFill="1" applyBorder="1" applyAlignment="1">
      <alignment horizontal="right" vertical="center"/>
    </xf>
    <xf numFmtId="1" fontId="7" fillId="0" borderId="1" xfId="0" applyNumberFormat="1" applyFont="1" applyBorder="1" applyAlignment="1">
      <alignment horizontal="center"/>
    </xf>
    <xf numFmtId="0" fontId="7" fillId="9" borderId="1" xfId="0" applyFont="1" applyFill="1" applyBorder="1" applyAlignment="1">
      <alignment horizontal="center"/>
    </xf>
    <xf numFmtId="0" fontId="7" fillId="0" borderId="19" xfId="0" applyFont="1" applyBorder="1" applyAlignment="1">
      <alignment horizontal="center" vertical="center"/>
    </xf>
    <xf numFmtId="0" fontId="7" fillId="11" borderId="20" xfId="0" applyFont="1" applyFill="1" applyBorder="1" applyAlignment="1">
      <alignment horizontal="center" vertical="center"/>
    </xf>
    <xf numFmtId="0" fontId="7" fillId="11" borderId="10" xfId="0" applyFont="1" applyFill="1" applyBorder="1" applyAlignment="1">
      <alignment horizontal="center" vertical="center"/>
    </xf>
    <xf numFmtId="0" fontId="7" fillId="11" borderId="21"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9" fillId="0" borderId="18" xfId="0" applyFont="1" applyBorder="1" applyAlignment="1">
      <alignment horizontal="center" vertical="center"/>
    </xf>
    <xf numFmtId="0" fontId="9" fillId="0" borderId="1" xfId="0" applyFont="1" applyBorder="1" applyAlignment="1">
      <alignment horizontal="center" vertical="center"/>
    </xf>
    <xf numFmtId="0" fontId="9" fillId="0" borderId="19" xfId="0" applyFont="1" applyBorder="1" applyAlignment="1">
      <alignment horizontal="center" vertical="center"/>
    </xf>
    <xf numFmtId="1" fontId="7" fillId="0" borderId="9" xfId="0" applyNumberFormat="1" applyFont="1" applyBorder="1" applyAlignment="1">
      <alignment horizontal="center" vertical="center"/>
    </xf>
    <xf numFmtId="1" fontId="7" fillId="0" borderId="11" xfId="0" applyNumberFormat="1" applyFont="1" applyBorder="1" applyAlignment="1">
      <alignment horizontal="center" vertical="center"/>
    </xf>
    <xf numFmtId="1" fontId="7" fillId="0" borderId="21" xfId="0" applyNumberFormat="1" applyFont="1" applyBorder="1" applyAlignment="1">
      <alignment horizontal="center" vertical="center"/>
    </xf>
    <xf numFmtId="0" fontId="7" fillId="0" borderId="9" xfId="0" applyFont="1" applyBorder="1" applyAlignment="1">
      <alignment horizontal="right" vertical="center" indent="1"/>
    </xf>
    <xf numFmtId="0" fontId="7" fillId="0" borderId="10" xfId="0" applyFont="1" applyBorder="1" applyAlignment="1">
      <alignment horizontal="right" vertical="center" indent="1"/>
    </xf>
    <xf numFmtId="0" fontId="7" fillId="0" borderId="11" xfId="0" applyFont="1" applyBorder="1" applyAlignment="1">
      <alignment horizontal="right" vertical="center" indent="1"/>
    </xf>
    <xf numFmtId="0" fontId="7" fillId="9" borderId="18" xfId="0" applyFont="1" applyFill="1" applyBorder="1" applyAlignment="1">
      <alignment horizontal="center" vertical="center"/>
    </xf>
    <xf numFmtId="0" fontId="7" fillId="9" borderId="1" xfId="0" applyFont="1" applyFill="1" applyBorder="1" applyAlignment="1">
      <alignment horizontal="center" vertical="center"/>
    </xf>
    <xf numFmtId="1" fontId="8" fillId="8" borderId="1" xfId="0" applyNumberFormat="1" applyFont="1" applyFill="1" applyBorder="1" applyAlignment="1">
      <alignment horizontal="center" vertical="center"/>
    </xf>
    <xf numFmtId="0" fontId="7" fillId="0" borderId="19" xfId="0" applyFont="1" applyBorder="1" applyAlignment="1">
      <alignment horizontal="left" vertical="center"/>
    </xf>
    <xf numFmtId="0" fontId="8" fillId="0" borderId="20" xfId="0" applyFont="1" applyBorder="1" applyAlignment="1">
      <alignment horizontal="center"/>
    </xf>
    <xf numFmtId="0" fontId="7" fillId="0" borderId="21" xfId="0" applyFont="1" applyBorder="1" applyAlignment="1">
      <alignment horizontal="center" vertical="center"/>
    </xf>
    <xf numFmtId="0" fontId="8" fillId="11" borderId="20" xfId="0" applyFont="1" applyFill="1" applyBorder="1" applyAlignment="1">
      <alignment horizontal="center"/>
    </xf>
    <xf numFmtId="0" fontId="8" fillId="11" borderId="10" xfId="0" applyFont="1" applyFill="1" applyBorder="1" applyAlignment="1">
      <alignment horizontal="center"/>
    </xf>
    <xf numFmtId="0" fontId="8" fillId="11" borderId="21" xfId="0" applyFont="1" applyFill="1" applyBorder="1" applyAlignment="1">
      <alignment horizontal="center"/>
    </xf>
    <xf numFmtId="0" fontId="12" fillId="8" borderId="9" xfId="0" applyFont="1" applyFill="1" applyBorder="1" applyAlignment="1">
      <alignment horizontal="center" vertical="center"/>
    </xf>
    <xf numFmtId="0" fontId="12" fillId="8" borderId="11" xfId="0" applyFont="1" applyFill="1" applyBorder="1" applyAlignment="1">
      <alignment horizontal="center" vertical="center"/>
    </xf>
    <xf numFmtId="0" fontId="7" fillId="8" borderId="1" xfId="0" applyFont="1" applyFill="1" applyBorder="1" applyAlignment="1">
      <alignment horizontal="center" vertical="center"/>
    </xf>
    <xf numFmtId="0" fontId="10" fillId="0" borderId="6" xfId="0" applyFont="1" applyBorder="1" applyAlignment="1">
      <alignment horizontal="right" vertical="center"/>
    </xf>
    <xf numFmtId="0" fontId="10" fillId="0" borderId="8" xfId="0" applyFont="1" applyBorder="1" applyAlignment="1">
      <alignment horizontal="right" vertical="center"/>
    </xf>
    <xf numFmtId="0" fontId="8" fillId="11" borderId="9" xfId="0" applyFont="1" applyFill="1" applyBorder="1" applyAlignment="1">
      <alignment horizontal="center"/>
    </xf>
    <xf numFmtId="0" fontId="8" fillId="11" borderId="11" xfId="0" applyFont="1" applyFill="1" applyBorder="1" applyAlignment="1">
      <alignment horizontal="center"/>
    </xf>
    <xf numFmtId="0" fontId="8" fillId="7" borderId="9" xfId="0" applyFont="1" applyFill="1" applyBorder="1" applyAlignment="1">
      <alignment horizontal="center"/>
    </xf>
    <xf numFmtId="0" fontId="8" fillId="7" borderId="11" xfId="0" applyFont="1" applyFill="1" applyBorder="1" applyAlignment="1">
      <alignment horizontal="center"/>
    </xf>
    <xf numFmtId="0" fontId="7" fillId="11" borderId="9" xfId="0" applyFont="1" applyFill="1" applyBorder="1" applyAlignment="1">
      <alignment horizontal="center" vertical="center"/>
    </xf>
    <xf numFmtId="0" fontId="7" fillId="11" borderId="11"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0" fontId="10" fillId="0" borderId="18" xfId="0" applyFont="1" applyBorder="1" applyAlignment="1">
      <alignment horizontal="right" vertical="center"/>
    </xf>
    <xf numFmtId="0" fontId="10" fillId="0" borderId="1" xfId="0" applyFont="1" applyBorder="1" applyAlignment="1">
      <alignment horizontal="right" vertical="center"/>
    </xf>
    <xf numFmtId="0" fontId="10" fillId="0" borderId="19" xfId="0" applyFont="1" applyBorder="1" applyAlignment="1">
      <alignment horizontal="right" vertical="center"/>
    </xf>
    <xf numFmtId="0" fontId="8" fillId="11" borderId="30" xfId="0" applyFont="1" applyFill="1" applyBorder="1" applyAlignment="1">
      <alignment horizontal="center"/>
    </xf>
    <xf numFmtId="0" fontId="8" fillId="11" borderId="31" xfId="0" applyFont="1" applyFill="1" applyBorder="1" applyAlignment="1">
      <alignment horizontal="center"/>
    </xf>
    <xf numFmtId="0" fontId="8" fillId="11" borderId="32" xfId="0" applyFont="1" applyFill="1" applyBorder="1" applyAlignment="1">
      <alignment horizontal="center"/>
    </xf>
    <xf numFmtId="0" fontId="8" fillId="7" borderId="18" xfId="0" applyFont="1" applyFill="1" applyBorder="1" applyAlignment="1">
      <alignment horizontal="center"/>
    </xf>
    <xf numFmtId="0" fontId="8" fillId="7" borderId="1" xfId="0" applyFont="1" applyFill="1" applyBorder="1" applyAlignment="1">
      <alignment horizontal="center"/>
    </xf>
    <xf numFmtId="0" fontId="8" fillId="7" borderId="19" xfId="0" applyFont="1" applyFill="1" applyBorder="1" applyAlignment="1">
      <alignment horizontal="center"/>
    </xf>
    <xf numFmtId="1" fontId="7" fillId="0" borderId="1" xfId="0" applyNumberFormat="1" applyFont="1" applyBorder="1" applyAlignment="1">
      <alignment horizontal="center" vertical="center"/>
    </xf>
    <xf numFmtId="1" fontId="7" fillId="0" borderId="19" xfId="0" applyNumberFormat="1" applyFont="1" applyBorder="1" applyAlignment="1">
      <alignment horizontal="center" vertical="center"/>
    </xf>
    <xf numFmtId="0" fontId="7" fillId="11" borderId="18" xfId="0" applyFont="1" applyFill="1" applyBorder="1" applyAlignment="1">
      <alignment horizontal="center" vertical="center"/>
    </xf>
    <xf numFmtId="0" fontId="7" fillId="11" borderId="1" xfId="0" applyFont="1" applyFill="1" applyBorder="1" applyAlignment="1">
      <alignment horizontal="center" vertical="center"/>
    </xf>
    <xf numFmtId="0" fontId="7" fillId="11" borderId="19" xfId="0" applyFont="1" applyFill="1" applyBorder="1" applyAlignment="1">
      <alignment horizontal="center" vertical="center"/>
    </xf>
    <xf numFmtId="0" fontId="8" fillId="0" borderId="18" xfId="0" applyFont="1" applyBorder="1" applyAlignment="1">
      <alignment horizontal="center"/>
    </xf>
    <xf numFmtId="0" fontId="8" fillId="11" borderId="18" xfId="0" applyFont="1" applyFill="1" applyBorder="1" applyAlignment="1">
      <alignment horizontal="center"/>
    </xf>
    <xf numFmtId="0" fontId="8" fillId="11" borderId="1" xfId="0" applyFont="1" applyFill="1" applyBorder="1" applyAlignment="1">
      <alignment horizontal="center"/>
    </xf>
    <xf numFmtId="0" fontId="8" fillId="11" borderId="19" xfId="0" applyFont="1" applyFill="1" applyBorder="1" applyAlignment="1">
      <alignment horizontal="center"/>
    </xf>
    <xf numFmtId="1" fontId="7" fillId="0" borderId="19" xfId="0" applyNumberFormat="1" applyFont="1" applyBorder="1" applyAlignment="1">
      <alignment horizont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5" fillId="2" borderId="29" xfId="0" applyFont="1" applyFill="1" applyBorder="1" applyAlignment="1">
      <alignment horizontal="center" vertical="center"/>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2" fillId="0" borderId="18" xfId="0" applyFont="1" applyBorder="1" applyAlignment="1">
      <alignment horizontal="center" vertical="center"/>
    </xf>
    <xf numFmtId="0" fontId="2" fillId="0" borderId="1" xfId="0" applyFont="1" applyBorder="1" applyAlignment="1">
      <alignment horizontal="center" vertical="center"/>
    </xf>
  </cellXfs>
  <cellStyles count="1">
    <cellStyle name="Normal" xfId="0" builtinId="0"/>
  </cellStyles>
  <dxfs count="95">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ill>
        <patternFill>
          <bgColor rgb="FF00B050"/>
        </patternFill>
      </fill>
    </dxf>
    <dxf>
      <fill>
        <patternFill>
          <bgColor rgb="FFFF0000"/>
        </patternFill>
      </fill>
    </dxf>
    <dxf>
      <fill>
        <patternFill>
          <bgColor rgb="FF00B050"/>
        </patternFill>
      </fill>
    </dxf>
    <dxf>
      <fill>
        <patternFill>
          <bgColor rgb="FFFF0000"/>
        </patternFill>
      </fill>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ill>
        <patternFill>
          <bgColor rgb="FF00B050"/>
        </patternFill>
      </fill>
    </dxf>
    <dxf>
      <fill>
        <patternFill>
          <bgColor rgb="FFFF0000"/>
        </patternFill>
      </fill>
    </dxf>
    <dxf>
      <fill>
        <patternFill>
          <bgColor rgb="FF00B050"/>
        </patternFill>
      </fill>
    </dxf>
    <dxf>
      <fill>
        <patternFill>
          <bgColor rgb="FFFF0000"/>
        </patternFill>
      </fill>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ill>
        <patternFill>
          <bgColor rgb="FF00B050"/>
        </patternFill>
      </fill>
    </dxf>
    <dxf>
      <fill>
        <patternFill>
          <bgColor rgb="FFFF0000"/>
        </patternFill>
      </fill>
    </dxf>
    <dxf>
      <fill>
        <patternFill>
          <bgColor rgb="FF00B050"/>
        </patternFill>
      </fill>
    </dxf>
    <dxf>
      <fill>
        <patternFill>
          <bgColor rgb="FFFF0000"/>
        </patternFill>
      </fill>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ill>
        <patternFill>
          <bgColor rgb="FF00B050"/>
        </patternFill>
      </fill>
    </dxf>
    <dxf>
      <fill>
        <patternFill>
          <bgColor rgb="FFFF0000"/>
        </patternFill>
      </fill>
    </dxf>
    <dxf>
      <fill>
        <patternFill>
          <bgColor rgb="FF00B050"/>
        </patternFill>
      </fill>
    </dxf>
    <dxf>
      <fill>
        <patternFill>
          <bgColor rgb="FFFF0000"/>
        </patternFill>
      </fill>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fgColor theme="0"/>
          <bgColor theme="0"/>
        </patternFill>
      </fill>
      <border>
        <left/>
        <right/>
        <top/>
        <bottom/>
      </border>
    </dxf>
    <dxf>
      <font>
        <color theme="0"/>
      </font>
      <fill>
        <patternFill>
          <bgColor theme="0"/>
        </patternFill>
      </fill>
      <border>
        <left/>
        <right/>
        <top/>
        <bottom/>
      </border>
    </dxf>
    <dxf>
      <font>
        <color auto="1"/>
      </font>
      <fill>
        <patternFill patternType="solid">
          <bgColor rgb="FFFF3300"/>
        </patternFill>
      </fill>
    </dxf>
    <dxf>
      <fill>
        <patternFill>
          <bgColor rgb="FFFF0000"/>
        </patternFill>
      </fill>
    </dxf>
    <dxf>
      <font>
        <color theme="0"/>
      </font>
      <fill>
        <patternFill>
          <fgColor theme="0"/>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D2F9FE"/>
      <color rgb="FFFF3300"/>
      <color rgb="FFFFFF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54</xdr:row>
      <xdr:rowOff>95250</xdr:rowOff>
    </xdr:from>
    <xdr:to>
      <xdr:col>6</xdr:col>
      <xdr:colOff>95250</xdr:colOff>
      <xdr:row>110</xdr:row>
      <xdr:rowOff>7613</xdr:rowOff>
    </xdr:to>
    <xdr:pic>
      <xdr:nvPicPr>
        <xdr:cNvPr id="2" name="Picture 1">
          <a:extLst>
            <a:ext uri="{FF2B5EF4-FFF2-40B4-BE49-F238E27FC236}">
              <a16:creationId xmlns:a16="http://schemas.microsoft.com/office/drawing/2014/main" id="{82714996-2056-41AB-AD77-FDA701840CC1}"/>
            </a:ext>
          </a:extLst>
        </xdr:cNvPr>
        <xdr:cNvPicPr>
          <a:picLocks noChangeAspect="1"/>
        </xdr:cNvPicPr>
      </xdr:nvPicPr>
      <xdr:blipFill>
        <a:blip xmlns:r="http://schemas.openxmlformats.org/officeDocument/2006/relationships" r:embed="rId1"/>
        <a:stretch>
          <a:fillRect/>
        </a:stretch>
      </xdr:blipFill>
      <xdr:spPr>
        <a:xfrm>
          <a:off x="19050" y="10382250"/>
          <a:ext cx="6229350" cy="9437363"/>
        </a:xfrm>
        <a:prstGeom prst="rect">
          <a:avLst/>
        </a:prstGeom>
      </xdr:spPr>
    </xdr:pic>
    <xdr:clientData/>
  </xdr:twoCellAnchor>
  <xdr:twoCellAnchor editAs="oneCell">
    <xdr:from>
      <xdr:col>6</xdr:col>
      <xdr:colOff>95249</xdr:colOff>
      <xdr:row>54</xdr:row>
      <xdr:rowOff>85724</xdr:rowOff>
    </xdr:from>
    <xdr:to>
      <xdr:col>103</xdr:col>
      <xdr:colOff>1291948</xdr:colOff>
      <xdr:row>109</xdr:row>
      <xdr:rowOff>133349</xdr:rowOff>
    </xdr:to>
    <xdr:pic>
      <xdr:nvPicPr>
        <xdr:cNvPr id="3" name="Picture 2">
          <a:extLst>
            <a:ext uri="{FF2B5EF4-FFF2-40B4-BE49-F238E27FC236}">
              <a16:creationId xmlns:a16="http://schemas.microsoft.com/office/drawing/2014/main" id="{51B79202-2A13-6DCE-8E0F-931D9E13BC24}"/>
            </a:ext>
          </a:extLst>
        </xdr:cNvPr>
        <xdr:cNvPicPr>
          <a:picLocks noChangeAspect="1"/>
        </xdr:cNvPicPr>
      </xdr:nvPicPr>
      <xdr:blipFill>
        <a:blip xmlns:r="http://schemas.openxmlformats.org/officeDocument/2006/relationships" r:embed="rId2"/>
        <a:stretch>
          <a:fillRect/>
        </a:stretch>
      </xdr:blipFill>
      <xdr:spPr>
        <a:xfrm>
          <a:off x="6248399" y="10372724"/>
          <a:ext cx="7130774" cy="9382125"/>
        </a:xfrm>
        <a:prstGeom prst="rect">
          <a:avLst/>
        </a:prstGeom>
      </xdr:spPr>
    </xdr:pic>
    <xdr:clientData/>
  </xdr:twoCellAnchor>
  <xdr:twoCellAnchor editAs="oneCell">
    <xdr:from>
      <xdr:col>103</xdr:col>
      <xdr:colOff>1318829</xdr:colOff>
      <xdr:row>54</xdr:row>
      <xdr:rowOff>76199</xdr:rowOff>
    </xdr:from>
    <xdr:to>
      <xdr:col>105</xdr:col>
      <xdr:colOff>304800</xdr:colOff>
      <xdr:row>109</xdr:row>
      <xdr:rowOff>145633</xdr:rowOff>
    </xdr:to>
    <xdr:pic>
      <xdr:nvPicPr>
        <xdr:cNvPr id="4" name="Picture 3">
          <a:extLst>
            <a:ext uri="{FF2B5EF4-FFF2-40B4-BE49-F238E27FC236}">
              <a16:creationId xmlns:a16="http://schemas.microsoft.com/office/drawing/2014/main" id="{7D28B796-4101-D878-3463-F722CEFF4D4C}"/>
            </a:ext>
          </a:extLst>
        </xdr:cNvPr>
        <xdr:cNvPicPr>
          <a:picLocks noChangeAspect="1"/>
        </xdr:cNvPicPr>
      </xdr:nvPicPr>
      <xdr:blipFill>
        <a:blip xmlns:r="http://schemas.openxmlformats.org/officeDocument/2006/relationships" r:embed="rId3"/>
        <a:stretch>
          <a:fillRect/>
        </a:stretch>
      </xdr:blipFill>
      <xdr:spPr>
        <a:xfrm>
          <a:off x="13406054" y="10363199"/>
          <a:ext cx="7196521" cy="940393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90E27-F884-4009-896F-5C75B418934A}">
  <sheetPr codeName="Sheet1"/>
  <dimension ref="A1:XFD127"/>
  <sheetViews>
    <sheetView showGridLines="0" tabSelected="1" zoomScaleNormal="100" zoomScaleSheetLayoutView="100" zoomScalePageLayoutView="70" workbookViewId="0">
      <selection activeCell="C11" sqref="C11:D11"/>
    </sheetView>
  </sheetViews>
  <sheetFormatPr defaultColWidth="61.5703125" defaultRowHeight="15" x14ac:dyDescent="0.25"/>
  <cols>
    <col min="1" max="2" width="20.7109375" style="8" customWidth="1"/>
    <col min="3" max="13" width="12.7109375" style="8" customWidth="1"/>
    <col min="14" max="18" width="9.140625" style="8" hidden="1" customWidth="1"/>
    <col min="19" max="19" width="27.42578125" style="8" hidden="1" customWidth="1"/>
    <col min="20" max="29" width="9.140625" style="8" hidden="1" customWidth="1"/>
    <col min="30" max="30" width="24.7109375" style="8" hidden="1" customWidth="1"/>
    <col min="31" max="48" width="9.140625" style="8" hidden="1" customWidth="1"/>
    <col min="49" max="49" width="31.42578125" style="8" hidden="1" customWidth="1"/>
    <col min="50" max="103" width="9.140625" style="8" hidden="1" customWidth="1"/>
    <col min="104" max="106" width="61.5703125" style="8" customWidth="1"/>
    <col min="107" max="16384" width="61.5703125" style="8"/>
  </cols>
  <sheetData>
    <row r="1" spans="1:125" ht="15" customHeight="1" x14ac:dyDescent="0.25">
      <c r="A1" s="95" t="s">
        <v>153</v>
      </c>
      <c r="B1" s="97"/>
      <c r="C1" s="97"/>
      <c r="D1" s="97"/>
      <c r="E1" s="97"/>
      <c r="F1" s="98" t="s">
        <v>0</v>
      </c>
      <c r="G1" s="99"/>
      <c r="H1" s="100"/>
      <c r="I1" s="103"/>
      <c r="J1" s="104"/>
      <c r="K1" s="104"/>
      <c r="L1" s="104"/>
      <c r="M1" s="105"/>
      <c r="N1" s="94"/>
      <c r="O1" s="94"/>
      <c r="P1" s="94"/>
      <c r="Q1"/>
      <c r="R1">
        <v>1</v>
      </c>
      <c r="S1" t="s">
        <v>180</v>
      </c>
      <c r="T1" t="s">
        <v>13</v>
      </c>
      <c r="U1" t="str">
        <f>VLOOKUP(K21,S1:T5,2,FALSE)</f>
        <v>B</v>
      </c>
      <c r="V1" t="s">
        <v>31</v>
      </c>
      <c r="W1"/>
      <c r="X1"/>
      <c r="Y1" t="s">
        <v>23</v>
      </c>
      <c r="Z1" t="s">
        <v>24</v>
      </c>
      <c r="AA1"/>
      <c r="AB1"/>
      <c r="AC1"/>
      <c r="AD1"/>
      <c r="AE1"/>
      <c r="AF1"/>
      <c r="AG1"/>
      <c r="AH1"/>
      <c r="AI1"/>
      <c r="AJ1"/>
      <c r="AK1"/>
      <c r="AL1"/>
      <c r="AM1"/>
      <c r="AN1"/>
      <c r="AO1"/>
      <c r="AP1"/>
      <c r="AQ1"/>
      <c r="AR1"/>
      <c r="AS1"/>
      <c r="AT1"/>
      <c r="AU1"/>
      <c r="AV1"/>
      <c r="AW1"/>
      <c r="AX1"/>
      <c r="AY1" t="s">
        <v>63</v>
      </c>
      <c r="AZ1" t="s">
        <v>64</v>
      </c>
      <c r="BA1" t="s">
        <v>65</v>
      </c>
      <c r="BB1" t="s">
        <v>66</v>
      </c>
      <c r="BC1" t="s">
        <v>67</v>
      </c>
      <c r="BD1" t="s">
        <v>68</v>
      </c>
      <c r="BE1" t="s">
        <v>65</v>
      </c>
      <c r="BF1" t="s">
        <v>64</v>
      </c>
      <c r="BG1"/>
      <c r="BH1"/>
      <c r="BI1"/>
      <c r="BJ1" t="s">
        <v>63</v>
      </c>
      <c r="BK1" t="s">
        <v>64</v>
      </c>
      <c r="BL1" t="s">
        <v>65</v>
      </c>
      <c r="BM1" t="s">
        <v>67</v>
      </c>
      <c r="BN1" t="s">
        <v>9</v>
      </c>
      <c r="BO1" t="s">
        <v>65</v>
      </c>
      <c r="BP1" t="s">
        <v>64</v>
      </c>
      <c r="BQ1"/>
      <c r="BR1"/>
      <c r="BS1">
        <v>3</v>
      </c>
      <c r="BT1"/>
      <c r="BU1"/>
      <c r="BV1"/>
      <c r="BW1"/>
      <c r="BX1"/>
      <c r="BY1"/>
      <c r="BZ1"/>
      <c r="CA1"/>
      <c r="CB1"/>
      <c r="CC1" t="s">
        <v>63</v>
      </c>
      <c r="CD1" t="s">
        <v>64</v>
      </c>
      <c r="CE1" t="s">
        <v>65</v>
      </c>
      <c r="CF1" t="s">
        <v>66</v>
      </c>
      <c r="CG1" t="s">
        <v>67</v>
      </c>
      <c r="CH1" t="s">
        <v>68</v>
      </c>
      <c r="CI1" t="s">
        <v>65</v>
      </c>
      <c r="CJ1" t="s">
        <v>64</v>
      </c>
      <c r="CK1"/>
      <c r="CL1"/>
      <c r="CM1"/>
      <c r="CN1"/>
      <c r="CO1"/>
      <c r="CP1"/>
      <c r="CQ1"/>
      <c r="CR1"/>
      <c r="CS1"/>
      <c r="CT1"/>
      <c r="CU1"/>
      <c r="CV1"/>
      <c r="CW1"/>
      <c r="CX1"/>
      <c r="CY1"/>
      <c r="DU1" s="8">
        <f>IF(C7="Single",1,2)</f>
        <v>2</v>
      </c>
    </row>
    <row r="2" spans="1:125" ht="15" customHeight="1" x14ac:dyDescent="0.25">
      <c r="A2" s="95"/>
      <c r="B2" s="97"/>
      <c r="C2" s="97"/>
      <c r="D2" s="97"/>
      <c r="E2" s="97"/>
      <c r="F2" s="98" t="s">
        <v>1</v>
      </c>
      <c r="G2" s="99"/>
      <c r="H2" s="100"/>
      <c r="I2" s="106">
        <f ca="1">TODAY()</f>
        <v>45007</v>
      </c>
      <c r="J2" s="107"/>
      <c r="K2" s="107"/>
      <c r="L2" s="107"/>
      <c r="M2" s="108"/>
      <c r="N2" s="94"/>
      <c r="O2" s="94"/>
      <c r="P2" s="94"/>
      <c r="Q2"/>
      <c r="R2">
        <v>2</v>
      </c>
      <c r="S2" t="s">
        <v>7</v>
      </c>
      <c r="T2" t="s">
        <v>39</v>
      </c>
      <c r="U2" t="str">
        <f>U1&amp;K20</f>
        <v>B3</v>
      </c>
      <c r="V2" t="str">
        <f t="shared" ref="V2:V9" si="0">W2&amp;X2</f>
        <v>40</v>
      </c>
      <c r="W2">
        <v>4</v>
      </c>
      <c r="X2">
        <v>0</v>
      </c>
      <c r="Y2">
        <v>80</v>
      </c>
      <c r="Z2">
        <v>80</v>
      </c>
      <c r="AA2"/>
      <c r="AB2" t="str">
        <f>AC2&amp;AD2</f>
        <v>30</v>
      </c>
      <c r="AC2">
        <v>3</v>
      </c>
      <c r="AD2">
        <v>0</v>
      </c>
      <c r="AE2">
        <v>35</v>
      </c>
      <c r="AF2">
        <v>35</v>
      </c>
      <c r="AG2"/>
      <c r="AH2" t="str">
        <f>AI2&amp;AJ2</f>
        <v>60</v>
      </c>
      <c r="AI2">
        <v>6</v>
      </c>
      <c r="AJ2">
        <v>0</v>
      </c>
      <c r="AK2">
        <v>100</v>
      </c>
      <c r="AL2">
        <v>100</v>
      </c>
      <c r="AM2"/>
      <c r="AN2" t="str">
        <f>AO2&amp;AP2&amp;AQ2&amp;AR2&amp;AS2</f>
        <v>2LightLightLight25</v>
      </c>
      <c r="AO2">
        <v>2</v>
      </c>
      <c r="AP2" t="s">
        <v>20</v>
      </c>
      <c r="AQ2" t="s">
        <v>20</v>
      </c>
      <c r="AR2" t="s">
        <v>20</v>
      </c>
      <c r="AS2">
        <v>25</v>
      </c>
      <c r="AT2">
        <v>15</v>
      </c>
      <c r="AU2">
        <v>11</v>
      </c>
      <c r="AV2"/>
      <c r="AW2" t="str">
        <f>AX2&amp;AY2&amp;AZ2&amp;BA2&amp;BB2&amp;BC2</f>
        <v>2LightLightLightLight25</v>
      </c>
      <c r="AX2">
        <v>2</v>
      </c>
      <c r="AY2" t="s">
        <v>20</v>
      </c>
      <c r="AZ2" t="s">
        <v>20</v>
      </c>
      <c r="BA2" t="s">
        <v>20</v>
      </c>
      <c r="BB2" t="s">
        <v>20</v>
      </c>
      <c r="BC2">
        <v>25</v>
      </c>
      <c r="BD2">
        <v>23</v>
      </c>
      <c r="BE2">
        <v>21</v>
      </c>
      <c r="BF2">
        <v>11</v>
      </c>
      <c r="BG2"/>
      <c r="BH2" t="str">
        <f>BI2&amp;BJ2&amp;BK2&amp;BL2&amp;BM2</f>
        <v>2LightLightLight25</v>
      </c>
      <c r="BI2">
        <v>2</v>
      </c>
      <c r="BJ2" t="s">
        <v>20</v>
      </c>
      <c r="BK2" t="s">
        <v>20</v>
      </c>
      <c r="BL2" t="s">
        <v>20</v>
      </c>
      <c r="BM2">
        <v>25</v>
      </c>
      <c r="BN2">
        <v>6</v>
      </c>
      <c r="BO2">
        <v>15</v>
      </c>
      <c r="BP2">
        <v>9</v>
      </c>
      <c r="BQ2"/>
      <c r="BR2"/>
      <c r="BS2">
        <v>3</v>
      </c>
      <c r="BT2" t="s">
        <v>20</v>
      </c>
      <c r="BU2" t="s">
        <v>20</v>
      </c>
      <c r="BV2" t="s">
        <v>20</v>
      </c>
      <c r="BW2">
        <v>25</v>
      </c>
      <c r="BX2">
        <v>17</v>
      </c>
      <c r="BY2">
        <v>11</v>
      </c>
      <c r="BZ2"/>
      <c r="CA2"/>
      <c r="CB2">
        <v>3</v>
      </c>
      <c r="CC2" t="s">
        <v>20</v>
      </c>
      <c r="CD2" t="s">
        <v>20</v>
      </c>
      <c r="CE2" t="s">
        <v>20</v>
      </c>
      <c r="CF2" t="s">
        <v>20</v>
      </c>
      <c r="CG2">
        <v>25</v>
      </c>
      <c r="CH2">
        <v>26</v>
      </c>
      <c r="CI2">
        <v>23</v>
      </c>
      <c r="CJ2">
        <v>11</v>
      </c>
      <c r="CK2"/>
      <c r="CL2"/>
      <c r="CM2">
        <v>3</v>
      </c>
      <c r="CN2" t="s">
        <v>20</v>
      </c>
      <c r="CO2" t="s">
        <v>20</v>
      </c>
      <c r="CP2" t="s">
        <v>20</v>
      </c>
      <c r="CQ2">
        <v>25</v>
      </c>
      <c r="CR2">
        <v>6</v>
      </c>
      <c r="CS2">
        <v>17</v>
      </c>
      <c r="CT2">
        <v>9</v>
      </c>
      <c r="CU2"/>
      <c r="CV2"/>
      <c r="CW2"/>
      <c r="CX2"/>
      <c r="CY2"/>
      <c r="DU2" s="8">
        <f>IF(C9="Subfloor",1,2)</f>
        <v>2</v>
      </c>
    </row>
    <row r="3" spans="1:125" ht="15" customHeight="1" x14ac:dyDescent="0.25">
      <c r="A3" s="95" t="s">
        <v>154</v>
      </c>
      <c r="B3" s="96"/>
      <c r="C3" s="96"/>
      <c r="D3" s="96"/>
      <c r="E3" s="96"/>
      <c r="F3" s="98" t="s">
        <v>152</v>
      </c>
      <c r="G3" s="99"/>
      <c r="H3" s="100"/>
      <c r="I3" s="109"/>
      <c r="J3" s="110"/>
      <c r="K3" s="110"/>
      <c r="L3" s="110"/>
      <c r="M3" s="111"/>
      <c r="N3"/>
      <c r="O3"/>
      <c r="P3"/>
      <c r="Q3"/>
      <c r="R3">
        <v>3</v>
      </c>
      <c r="S3" t="s">
        <v>181</v>
      </c>
      <c r="T3" t="s">
        <v>40</v>
      </c>
      <c r="U3"/>
      <c r="V3" t="str">
        <f t="shared" si="0"/>
        <v>41</v>
      </c>
      <c r="W3">
        <v>4</v>
      </c>
      <c r="X3">
        <v>1</v>
      </c>
      <c r="Y3">
        <v>60</v>
      </c>
      <c r="Z3">
        <v>70</v>
      </c>
      <c r="AA3"/>
      <c r="AB3" t="str">
        <f t="shared" ref="AB3:AB9" si="1">AC3&amp;AD3</f>
        <v>31</v>
      </c>
      <c r="AC3">
        <v>3</v>
      </c>
      <c r="AD3">
        <v>1</v>
      </c>
      <c r="AE3">
        <v>30</v>
      </c>
      <c r="AF3">
        <v>35</v>
      </c>
      <c r="AG3"/>
      <c r="AH3" t="str">
        <f t="shared" ref="AH3:AH9" si="2">AI3&amp;AJ3</f>
        <v>61</v>
      </c>
      <c r="AI3">
        <v>6</v>
      </c>
      <c r="AJ3">
        <v>1</v>
      </c>
      <c r="AK3">
        <v>80</v>
      </c>
      <c r="AL3">
        <v>90</v>
      </c>
      <c r="AM3"/>
      <c r="AN3" t="str">
        <f t="shared" ref="AN3:AN9" si="3">AO3&amp;AP3&amp;AQ3&amp;AR3&amp;AS3</f>
        <v>2LightLightLight45</v>
      </c>
      <c r="AO3">
        <v>2</v>
      </c>
      <c r="AP3" t="s">
        <v>20</v>
      </c>
      <c r="AQ3" t="s">
        <v>20</v>
      </c>
      <c r="AR3" t="s">
        <v>20</v>
      </c>
      <c r="AS3">
        <v>45</v>
      </c>
      <c r="AT3">
        <v>16</v>
      </c>
      <c r="AU3">
        <v>11</v>
      </c>
      <c r="AV3"/>
      <c r="AW3" t="str">
        <f t="shared" ref="AW3:AW9" si="4">AX3&amp;AY3&amp;AZ3&amp;BA3&amp;BB3&amp;BC3</f>
        <v>2LightLightLightLight45</v>
      </c>
      <c r="AX3">
        <v>2</v>
      </c>
      <c r="AY3" t="s">
        <v>20</v>
      </c>
      <c r="AZ3" t="s">
        <v>20</v>
      </c>
      <c r="BA3" t="s">
        <v>20</v>
      </c>
      <c r="BB3" t="s">
        <v>20</v>
      </c>
      <c r="BC3">
        <v>45</v>
      </c>
      <c r="BD3">
        <v>24</v>
      </c>
      <c r="BE3">
        <v>21</v>
      </c>
      <c r="BF3">
        <v>12</v>
      </c>
      <c r="BG3"/>
      <c r="BH3" t="str">
        <f t="shared" ref="BH3:BH9" si="5">BI3&amp;BJ3&amp;BK3&amp;BL3&amp;BM3</f>
        <v>2LightLightLight45</v>
      </c>
      <c r="BI3">
        <v>2</v>
      </c>
      <c r="BJ3" t="s">
        <v>20</v>
      </c>
      <c r="BK3" t="s">
        <v>20</v>
      </c>
      <c r="BL3" t="s">
        <v>20</v>
      </c>
      <c r="BM3">
        <v>45</v>
      </c>
      <c r="BN3">
        <v>6</v>
      </c>
      <c r="BO3">
        <v>16</v>
      </c>
      <c r="BP3">
        <v>9</v>
      </c>
      <c r="BQ3"/>
      <c r="BR3"/>
      <c r="BS3">
        <v>3</v>
      </c>
      <c r="BT3" t="s">
        <v>20</v>
      </c>
      <c r="BU3" t="s">
        <v>20</v>
      </c>
      <c r="BV3" t="s">
        <v>20</v>
      </c>
      <c r="BW3">
        <v>45</v>
      </c>
      <c r="BX3">
        <v>17</v>
      </c>
      <c r="BY3">
        <v>12</v>
      </c>
      <c r="BZ3"/>
      <c r="CA3"/>
      <c r="CB3">
        <v>3</v>
      </c>
      <c r="CC3" t="s">
        <v>20</v>
      </c>
      <c r="CD3" t="s">
        <v>20</v>
      </c>
      <c r="CE3" t="s">
        <v>20</v>
      </c>
      <c r="CF3" t="s">
        <v>20</v>
      </c>
      <c r="CG3">
        <v>45</v>
      </c>
      <c r="CH3">
        <v>27</v>
      </c>
      <c r="CI3">
        <v>24</v>
      </c>
      <c r="CJ3">
        <v>12</v>
      </c>
      <c r="CK3"/>
      <c r="CL3"/>
      <c r="CM3">
        <v>3</v>
      </c>
      <c r="CN3" t="s">
        <v>20</v>
      </c>
      <c r="CO3" t="s">
        <v>20</v>
      </c>
      <c r="CP3" t="s">
        <v>20</v>
      </c>
      <c r="CQ3">
        <v>45</v>
      </c>
      <c r="CR3">
        <v>6</v>
      </c>
      <c r="CS3">
        <v>17</v>
      </c>
      <c r="CT3">
        <v>10</v>
      </c>
      <c r="CU3"/>
      <c r="CV3"/>
      <c r="CW3"/>
      <c r="CX3"/>
      <c r="CY3"/>
    </row>
    <row r="4" spans="1:125" ht="15" customHeight="1" x14ac:dyDescent="0.25">
      <c r="A4" s="95"/>
      <c r="B4" s="96"/>
      <c r="C4" s="96"/>
      <c r="D4" s="96"/>
      <c r="E4" s="96"/>
      <c r="F4" s="98" t="s">
        <v>2</v>
      </c>
      <c r="G4" s="99"/>
      <c r="H4" s="100"/>
      <c r="I4" s="109"/>
      <c r="J4" s="110"/>
      <c r="K4" s="110"/>
      <c r="L4" s="110"/>
      <c r="M4" s="111"/>
      <c r="N4"/>
      <c r="O4"/>
      <c r="P4"/>
      <c r="Q4"/>
      <c r="R4">
        <v>4</v>
      </c>
      <c r="S4" t="s">
        <v>182</v>
      </c>
      <c r="T4" t="s">
        <v>41</v>
      </c>
      <c r="U4"/>
      <c r="V4" t="str">
        <f t="shared" si="0"/>
        <v>50</v>
      </c>
      <c r="W4">
        <v>5</v>
      </c>
      <c r="X4">
        <v>0</v>
      </c>
      <c r="Y4">
        <v>100</v>
      </c>
      <c r="Z4">
        <v>100</v>
      </c>
      <c r="AA4"/>
      <c r="AB4" t="str">
        <f t="shared" si="1"/>
        <v>40</v>
      </c>
      <c r="AC4">
        <v>4</v>
      </c>
      <c r="AD4">
        <v>0</v>
      </c>
      <c r="AE4">
        <v>45</v>
      </c>
      <c r="AF4">
        <v>45</v>
      </c>
      <c r="AG4"/>
      <c r="AH4" t="str">
        <f t="shared" si="2"/>
        <v>62</v>
      </c>
      <c r="AI4">
        <v>6</v>
      </c>
      <c r="AJ4">
        <v>2</v>
      </c>
      <c r="AK4">
        <v>75</v>
      </c>
      <c r="AL4">
        <v>80</v>
      </c>
      <c r="AM4"/>
      <c r="AN4" t="str">
        <f t="shared" si="3"/>
        <v>2LightLightLight60</v>
      </c>
      <c r="AO4">
        <v>2</v>
      </c>
      <c r="AP4" t="s">
        <v>20</v>
      </c>
      <c r="AQ4" t="s">
        <v>20</v>
      </c>
      <c r="AR4" t="s">
        <v>20</v>
      </c>
      <c r="AS4">
        <v>60</v>
      </c>
      <c r="AT4">
        <v>17</v>
      </c>
      <c r="AU4">
        <v>13</v>
      </c>
      <c r="AV4"/>
      <c r="AW4" t="str">
        <f t="shared" si="4"/>
        <v>2LightLightLightLight60</v>
      </c>
      <c r="AX4">
        <v>2</v>
      </c>
      <c r="AY4" t="s">
        <v>20</v>
      </c>
      <c r="AZ4" t="s">
        <v>20</v>
      </c>
      <c r="BA4" t="s">
        <v>20</v>
      </c>
      <c r="BB4" t="s">
        <v>20</v>
      </c>
      <c r="BC4">
        <v>60</v>
      </c>
      <c r="BD4">
        <v>25</v>
      </c>
      <c r="BE4">
        <v>22</v>
      </c>
      <c r="BF4">
        <v>13</v>
      </c>
      <c r="BG4"/>
      <c r="BH4" t="str">
        <f t="shared" si="5"/>
        <v>2LightLightLight60</v>
      </c>
      <c r="BI4">
        <v>2</v>
      </c>
      <c r="BJ4" t="s">
        <v>20</v>
      </c>
      <c r="BK4" t="s">
        <v>20</v>
      </c>
      <c r="BL4" t="s">
        <v>20</v>
      </c>
      <c r="BM4">
        <v>60</v>
      </c>
      <c r="BN4">
        <v>7</v>
      </c>
      <c r="BO4">
        <v>17</v>
      </c>
      <c r="BP4">
        <v>10</v>
      </c>
      <c r="BQ4"/>
      <c r="BR4"/>
      <c r="BS4">
        <v>3</v>
      </c>
      <c r="BT4" t="s">
        <v>20</v>
      </c>
      <c r="BU4" t="s">
        <v>20</v>
      </c>
      <c r="BV4" t="s">
        <v>20</v>
      </c>
      <c r="BW4">
        <v>60</v>
      </c>
      <c r="BX4">
        <v>18</v>
      </c>
      <c r="BY4">
        <v>13</v>
      </c>
      <c r="BZ4"/>
      <c r="CA4"/>
      <c r="CB4">
        <v>3</v>
      </c>
      <c r="CC4" t="s">
        <v>20</v>
      </c>
      <c r="CD4" t="s">
        <v>20</v>
      </c>
      <c r="CE4" t="s">
        <v>20</v>
      </c>
      <c r="CF4" t="s">
        <v>20</v>
      </c>
      <c r="CG4">
        <v>60</v>
      </c>
      <c r="CH4">
        <v>28</v>
      </c>
      <c r="CI4">
        <v>15</v>
      </c>
      <c r="CJ4">
        <v>14</v>
      </c>
      <c r="CK4"/>
      <c r="CL4"/>
      <c r="CM4">
        <v>3</v>
      </c>
      <c r="CN4" t="s">
        <v>20</v>
      </c>
      <c r="CO4" t="s">
        <v>20</v>
      </c>
      <c r="CP4" t="s">
        <v>20</v>
      </c>
      <c r="CQ4">
        <v>60</v>
      </c>
      <c r="CR4">
        <v>7</v>
      </c>
      <c r="CS4">
        <v>18</v>
      </c>
      <c r="CT4">
        <v>11</v>
      </c>
      <c r="CU4"/>
      <c r="CV4"/>
      <c r="CW4"/>
      <c r="CX4"/>
      <c r="CY4"/>
    </row>
    <row r="5" spans="1:125" ht="15" customHeight="1" x14ac:dyDescent="0.25">
      <c r="A5" s="101"/>
      <c r="B5" s="101"/>
      <c r="C5" s="101"/>
      <c r="D5" s="101"/>
      <c r="E5" s="101"/>
      <c r="F5" s="101"/>
      <c r="G5" s="101"/>
      <c r="H5" s="101"/>
      <c r="I5" s="101"/>
      <c r="J5" s="101"/>
      <c r="K5" s="101"/>
      <c r="L5" s="101"/>
      <c r="M5" s="101"/>
      <c r="N5"/>
      <c r="O5"/>
      <c r="P5"/>
      <c r="Q5"/>
      <c r="R5"/>
      <c r="S5" t="s">
        <v>183</v>
      </c>
      <c r="T5" t="s">
        <v>42</v>
      </c>
      <c r="U5"/>
      <c r="V5" t="str">
        <f t="shared" si="0"/>
        <v>51</v>
      </c>
      <c r="W5">
        <v>5</v>
      </c>
      <c r="X5">
        <v>1</v>
      </c>
      <c r="Y5">
        <v>80</v>
      </c>
      <c r="Z5">
        <v>90</v>
      </c>
      <c r="AA5"/>
      <c r="AB5" t="str">
        <f t="shared" si="1"/>
        <v>41</v>
      </c>
      <c r="AC5">
        <v>4</v>
      </c>
      <c r="AD5">
        <v>1</v>
      </c>
      <c r="AE5">
        <v>40</v>
      </c>
      <c r="AF5">
        <v>45</v>
      </c>
      <c r="AG5"/>
      <c r="AH5" t="str">
        <f t="shared" si="2"/>
        <v>63</v>
      </c>
      <c r="AI5">
        <v>6</v>
      </c>
      <c r="AJ5">
        <v>3</v>
      </c>
      <c r="AK5">
        <v>75</v>
      </c>
      <c r="AL5">
        <v>70</v>
      </c>
      <c r="AM5"/>
      <c r="AN5" t="str">
        <f t="shared" si="3"/>
        <v>2LightLightMedium25</v>
      </c>
      <c r="AO5">
        <v>2</v>
      </c>
      <c r="AP5" t="s">
        <v>20</v>
      </c>
      <c r="AQ5" t="s">
        <v>20</v>
      </c>
      <c r="AR5" t="s">
        <v>36</v>
      </c>
      <c r="AS5">
        <v>25</v>
      </c>
      <c r="AT5">
        <v>15</v>
      </c>
      <c r="AU5">
        <v>11</v>
      </c>
      <c r="AV5"/>
      <c r="AW5" t="str">
        <f t="shared" si="4"/>
        <v>2LightLightLightMedium25</v>
      </c>
      <c r="AX5">
        <v>2</v>
      </c>
      <c r="AY5" t="s">
        <v>20</v>
      </c>
      <c r="AZ5" t="s">
        <v>20</v>
      </c>
      <c r="BA5" t="s">
        <v>20</v>
      </c>
      <c r="BB5" t="s">
        <v>36</v>
      </c>
      <c r="BC5">
        <v>25</v>
      </c>
      <c r="BD5">
        <v>23</v>
      </c>
      <c r="BE5">
        <v>21</v>
      </c>
      <c r="BF5">
        <v>11</v>
      </c>
      <c r="BG5"/>
      <c r="BH5" t="str">
        <f t="shared" si="5"/>
        <v>2LightLightMedium25</v>
      </c>
      <c r="BI5">
        <v>2</v>
      </c>
      <c r="BJ5" t="s">
        <v>20</v>
      </c>
      <c r="BK5" t="s">
        <v>20</v>
      </c>
      <c r="BL5" t="s">
        <v>36</v>
      </c>
      <c r="BM5">
        <v>25</v>
      </c>
      <c r="BN5" s="1" t="s">
        <v>69</v>
      </c>
      <c r="BO5">
        <v>17</v>
      </c>
      <c r="BP5">
        <v>9</v>
      </c>
      <c r="BQ5"/>
      <c r="BR5"/>
      <c r="BS5">
        <v>3</v>
      </c>
      <c r="BT5" t="s">
        <v>20</v>
      </c>
      <c r="BU5" t="s">
        <v>20</v>
      </c>
      <c r="BV5" t="s">
        <v>36</v>
      </c>
      <c r="BW5">
        <v>25</v>
      </c>
      <c r="BX5">
        <v>17</v>
      </c>
      <c r="BY5">
        <v>11</v>
      </c>
      <c r="BZ5"/>
      <c r="CA5"/>
      <c r="CB5">
        <v>3</v>
      </c>
      <c r="CC5" t="s">
        <v>20</v>
      </c>
      <c r="CD5" t="s">
        <v>20</v>
      </c>
      <c r="CE5" t="s">
        <v>20</v>
      </c>
      <c r="CF5" t="s">
        <v>36</v>
      </c>
      <c r="CG5">
        <v>25</v>
      </c>
      <c r="CH5">
        <v>26</v>
      </c>
      <c r="CI5">
        <v>23</v>
      </c>
      <c r="CJ5">
        <v>11</v>
      </c>
      <c r="CK5"/>
      <c r="CL5"/>
      <c r="CM5">
        <v>3</v>
      </c>
      <c r="CN5" t="s">
        <v>20</v>
      </c>
      <c r="CO5" t="s">
        <v>20</v>
      </c>
      <c r="CP5" t="s">
        <v>36</v>
      </c>
      <c r="CQ5">
        <v>25</v>
      </c>
      <c r="CR5" s="1" t="s">
        <v>69</v>
      </c>
      <c r="CS5">
        <v>19</v>
      </c>
      <c r="CT5">
        <v>9</v>
      </c>
      <c r="CU5"/>
      <c r="CV5"/>
      <c r="CW5"/>
      <c r="CX5"/>
      <c r="CY5"/>
    </row>
    <row r="6" spans="1:125" ht="15" customHeight="1" x14ac:dyDescent="0.25">
      <c r="A6" s="102" t="s">
        <v>129</v>
      </c>
      <c r="B6" s="102"/>
      <c r="C6" s="102"/>
      <c r="D6" s="102"/>
      <c r="E6" s="102"/>
      <c r="F6" s="102"/>
      <c r="G6" s="102"/>
      <c r="H6" s="102"/>
      <c r="I6" s="102"/>
      <c r="J6" s="102"/>
      <c r="K6" s="102"/>
      <c r="L6" s="102"/>
      <c r="M6" s="102"/>
      <c r="N6"/>
      <c r="O6"/>
      <c r="P6"/>
      <c r="Q6"/>
      <c r="R6"/>
      <c r="S6"/>
      <c r="T6"/>
      <c r="U6"/>
      <c r="V6" t="str">
        <f t="shared" si="0"/>
        <v>52</v>
      </c>
      <c r="W6">
        <v>5</v>
      </c>
      <c r="X6">
        <v>2</v>
      </c>
      <c r="Y6">
        <v>75</v>
      </c>
      <c r="Z6">
        <v>80</v>
      </c>
      <c r="AA6"/>
      <c r="AB6" t="str">
        <f t="shared" si="1"/>
        <v>42</v>
      </c>
      <c r="AC6">
        <v>4</v>
      </c>
      <c r="AD6">
        <v>2</v>
      </c>
      <c r="AE6">
        <v>40</v>
      </c>
      <c r="AF6">
        <v>45</v>
      </c>
      <c r="AG6"/>
      <c r="AH6" t="str">
        <f t="shared" si="2"/>
        <v>70</v>
      </c>
      <c r="AI6">
        <v>7</v>
      </c>
      <c r="AJ6">
        <v>0</v>
      </c>
      <c r="AK6">
        <v>120</v>
      </c>
      <c r="AL6">
        <v>120</v>
      </c>
      <c r="AM6"/>
      <c r="AN6" t="str">
        <f t="shared" si="3"/>
        <v>2LightLightMedium45</v>
      </c>
      <c r="AO6">
        <v>2</v>
      </c>
      <c r="AP6" t="s">
        <v>20</v>
      </c>
      <c r="AQ6" t="s">
        <v>20</v>
      </c>
      <c r="AR6" t="s">
        <v>36</v>
      </c>
      <c r="AS6">
        <v>45</v>
      </c>
      <c r="AT6">
        <v>16</v>
      </c>
      <c r="AU6">
        <v>11</v>
      </c>
      <c r="AV6"/>
      <c r="AW6" t="str">
        <f t="shared" si="4"/>
        <v>2LightLightLightMedium45</v>
      </c>
      <c r="AX6">
        <v>2</v>
      </c>
      <c r="AY6" t="s">
        <v>20</v>
      </c>
      <c r="AZ6" t="s">
        <v>20</v>
      </c>
      <c r="BA6" t="s">
        <v>20</v>
      </c>
      <c r="BB6" t="s">
        <v>36</v>
      </c>
      <c r="BC6">
        <v>45</v>
      </c>
      <c r="BD6">
        <v>24</v>
      </c>
      <c r="BE6">
        <v>21</v>
      </c>
      <c r="BF6">
        <v>12</v>
      </c>
      <c r="BG6"/>
      <c r="BH6" t="str">
        <f t="shared" si="5"/>
        <v>2LightLightMedium45</v>
      </c>
      <c r="BI6">
        <v>2</v>
      </c>
      <c r="BJ6" t="s">
        <v>20</v>
      </c>
      <c r="BK6" t="s">
        <v>20</v>
      </c>
      <c r="BL6" t="s">
        <v>36</v>
      </c>
      <c r="BM6">
        <v>45</v>
      </c>
      <c r="BN6" s="1" t="s">
        <v>69</v>
      </c>
      <c r="BO6">
        <v>18</v>
      </c>
      <c r="BP6">
        <v>10</v>
      </c>
      <c r="BQ6"/>
      <c r="BR6"/>
      <c r="BS6">
        <v>3</v>
      </c>
      <c r="BT6" t="s">
        <v>20</v>
      </c>
      <c r="BU6" t="s">
        <v>20</v>
      </c>
      <c r="BV6" t="s">
        <v>36</v>
      </c>
      <c r="BW6">
        <v>45</v>
      </c>
      <c r="BX6">
        <v>17</v>
      </c>
      <c r="BY6">
        <v>12</v>
      </c>
      <c r="BZ6"/>
      <c r="CA6"/>
      <c r="CB6">
        <v>3</v>
      </c>
      <c r="CC6" t="s">
        <v>20</v>
      </c>
      <c r="CD6" t="s">
        <v>20</v>
      </c>
      <c r="CE6" t="s">
        <v>20</v>
      </c>
      <c r="CF6" t="s">
        <v>36</v>
      </c>
      <c r="CG6">
        <v>45</v>
      </c>
      <c r="CH6">
        <v>27</v>
      </c>
      <c r="CI6">
        <v>24</v>
      </c>
      <c r="CJ6">
        <v>12</v>
      </c>
      <c r="CK6"/>
      <c r="CL6"/>
      <c r="CM6">
        <v>3</v>
      </c>
      <c r="CN6" t="s">
        <v>20</v>
      </c>
      <c r="CO6" t="s">
        <v>20</v>
      </c>
      <c r="CP6" t="s">
        <v>36</v>
      </c>
      <c r="CQ6">
        <v>45</v>
      </c>
      <c r="CR6" s="1" t="s">
        <v>69</v>
      </c>
      <c r="CS6">
        <v>19</v>
      </c>
      <c r="CT6">
        <v>10</v>
      </c>
      <c r="CU6"/>
      <c r="CV6"/>
      <c r="CW6"/>
      <c r="CX6"/>
      <c r="CY6"/>
    </row>
    <row r="7" spans="1:125" ht="15" customHeight="1" x14ac:dyDescent="0.25">
      <c r="A7" s="93" t="s">
        <v>10</v>
      </c>
      <c r="B7" s="93"/>
      <c r="C7" s="73" t="s">
        <v>212</v>
      </c>
      <c r="D7" s="73"/>
      <c r="E7" s="25"/>
      <c r="F7" s="59" t="s">
        <v>18</v>
      </c>
      <c r="G7" s="59"/>
      <c r="H7" s="59"/>
      <c r="I7" s="86" t="s">
        <v>20</v>
      </c>
      <c r="J7" s="86"/>
      <c r="K7" s="119" t="str">
        <f>IF(I14&gt;I13,"Warning: Lower Storey Area is Less than Upper Storey."," ")</f>
        <v xml:space="preserve"> </v>
      </c>
      <c r="L7" s="120"/>
      <c r="M7" s="121"/>
      <c r="N7"/>
      <c r="O7" s="88"/>
      <c r="P7" s="88"/>
      <c r="Q7" s="94"/>
      <c r="R7" s="94"/>
      <c r="S7" t="s">
        <v>28</v>
      </c>
      <c r="T7">
        <f>IF(C12&gt;10,"N/A",ROUND(C12+C14,0))</f>
        <v>6</v>
      </c>
      <c r="U7" t="str">
        <f>T7&amp;T8</f>
        <v>63</v>
      </c>
      <c r="V7" t="str">
        <f t="shared" si="0"/>
        <v>60</v>
      </c>
      <c r="W7">
        <v>6</v>
      </c>
      <c r="X7">
        <v>0</v>
      </c>
      <c r="Y7">
        <v>120</v>
      </c>
      <c r="Z7">
        <v>120</v>
      </c>
      <c r="AA7"/>
      <c r="AB7" t="str">
        <f t="shared" si="1"/>
        <v>50</v>
      </c>
      <c r="AC7">
        <v>5</v>
      </c>
      <c r="AD7">
        <v>0</v>
      </c>
      <c r="AE7">
        <v>55</v>
      </c>
      <c r="AF7">
        <v>55</v>
      </c>
      <c r="AG7"/>
      <c r="AH7" t="str">
        <f t="shared" si="2"/>
        <v>71</v>
      </c>
      <c r="AI7">
        <v>7</v>
      </c>
      <c r="AJ7">
        <v>1</v>
      </c>
      <c r="AK7">
        <v>105</v>
      </c>
      <c r="AL7">
        <v>110</v>
      </c>
      <c r="AM7"/>
      <c r="AN7" t="str">
        <f t="shared" si="3"/>
        <v>2LightLightMedium60</v>
      </c>
      <c r="AO7">
        <v>2</v>
      </c>
      <c r="AP7" t="s">
        <v>20</v>
      </c>
      <c r="AQ7" t="s">
        <v>20</v>
      </c>
      <c r="AR7" t="s">
        <v>36</v>
      </c>
      <c r="AS7">
        <v>60</v>
      </c>
      <c r="AT7">
        <v>17</v>
      </c>
      <c r="AU7">
        <v>13</v>
      </c>
      <c r="AV7"/>
      <c r="AW7" t="str">
        <f t="shared" si="4"/>
        <v>2LightLightLightMedium60</v>
      </c>
      <c r="AX7">
        <v>2</v>
      </c>
      <c r="AY7" t="s">
        <v>20</v>
      </c>
      <c r="AZ7" t="s">
        <v>20</v>
      </c>
      <c r="BA7" t="s">
        <v>20</v>
      </c>
      <c r="BB7" t="s">
        <v>36</v>
      </c>
      <c r="BC7">
        <v>60</v>
      </c>
      <c r="BD7">
        <v>25</v>
      </c>
      <c r="BE7">
        <v>22</v>
      </c>
      <c r="BF7">
        <v>13</v>
      </c>
      <c r="BG7"/>
      <c r="BH7" t="str">
        <f t="shared" si="5"/>
        <v>2LightLightMedium60</v>
      </c>
      <c r="BI7">
        <v>2</v>
      </c>
      <c r="BJ7" t="s">
        <v>20</v>
      </c>
      <c r="BK7" t="s">
        <v>20</v>
      </c>
      <c r="BL7" t="s">
        <v>36</v>
      </c>
      <c r="BM7">
        <v>60</v>
      </c>
      <c r="BN7" s="1" t="s">
        <v>69</v>
      </c>
      <c r="BO7">
        <v>19</v>
      </c>
      <c r="BP7">
        <v>11</v>
      </c>
      <c r="BQ7"/>
      <c r="BR7"/>
      <c r="BS7">
        <v>3</v>
      </c>
      <c r="BT7" t="s">
        <v>20</v>
      </c>
      <c r="BU7" t="s">
        <v>20</v>
      </c>
      <c r="BV7" t="s">
        <v>36</v>
      </c>
      <c r="BW7">
        <v>60</v>
      </c>
      <c r="BX7">
        <v>18</v>
      </c>
      <c r="BY7">
        <v>13</v>
      </c>
      <c r="BZ7"/>
      <c r="CA7"/>
      <c r="CB7">
        <v>3</v>
      </c>
      <c r="CC7" t="s">
        <v>20</v>
      </c>
      <c r="CD7" t="s">
        <v>20</v>
      </c>
      <c r="CE7" t="s">
        <v>20</v>
      </c>
      <c r="CF7" t="s">
        <v>36</v>
      </c>
      <c r="CG7">
        <v>60</v>
      </c>
      <c r="CH7">
        <v>28</v>
      </c>
      <c r="CI7">
        <v>15</v>
      </c>
      <c r="CJ7">
        <v>14</v>
      </c>
      <c r="CK7"/>
      <c r="CL7"/>
      <c r="CM7">
        <v>3</v>
      </c>
      <c r="CN7" t="s">
        <v>20</v>
      </c>
      <c r="CO7" t="s">
        <v>20</v>
      </c>
      <c r="CP7" t="s">
        <v>36</v>
      </c>
      <c r="CQ7">
        <v>60</v>
      </c>
      <c r="CR7" s="1" t="s">
        <v>69</v>
      </c>
      <c r="CS7">
        <v>20</v>
      </c>
      <c r="CT7">
        <v>11</v>
      </c>
      <c r="CU7"/>
      <c r="CV7"/>
      <c r="CW7"/>
      <c r="CX7"/>
      <c r="CY7"/>
    </row>
    <row r="8" spans="1:125" ht="15" customHeight="1" x14ac:dyDescent="0.25">
      <c r="A8" s="93" t="s">
        <v>11</v>
      </c>
      <c r="B8" s="93"/>
      <c r="C8" s="73">
        <v>2</v>
      </c>
      <c r="D8" s="73"/>
      <c r="E8" s="25" t="s">
        <v>94</v>
      </c>
      <c r="F8" s="59" t="s">
        <v>22</v>
      </c>
      <c r="G8" s="59"/>
      <c r="H8" s="59"/>
      <c r="I8" s="86">
        <v>29</v>
      </c>
      <c r="J8" s="86"/>
      <c r="K8" s="122"/>
      <c r="L8" s="90"/>
      <c r="M8" s="123"/>
      <c r="N8"/>
      <c r="O8" s="88"/>
      <c r="P8" s="88"/>
      <c r="Q8" s="94"/>
      <c r="R8" s="94"/>
      <c r="S8" t="s">
        <v>29</v>
      </c>
      <c r="T8" s="4">
        <f>IF(C13&gt;8,"N/A",ROUND(C13,0))</f>
        <v>3</v>
      </c>
      <c r="U8"/>
      <c r="V8" t="str">
        <f t="shared" si="0"/>
        <v>61</v>
      </c>
      <c r="W8">
        <v>6</v>
      </c>
      <c r="X8">
        <v>1</v>
      </c>
      <c r="Y8">
        <v>105</v>
      </c>
      <c r="Z8">
        <v>115</v>
      </c>
      <c r="AA8"/>
      <c r="AB8" t="str">
        <f t="shared" si="1"/>
        <v>51</v>
      </c>
      <c r="AC8">
        <v>5</v>
      </c>
      <c r="AD8">
        <v>1</v>
      </c>
      <c r="AE8">
        <v>50</v>
      </c>
      <c r="AF8">
        <v>55</v>
      </c>
      <c r="AG8"/>
      <c r="AH8" t="str">
        <f t="shared" si="2"/>
        <v>72</v>
      </c>
      <c r="AI8">
        <v>7</v>
      </c>
      <c r="AJ8">
        <v>2</v>
      </c>
      <c r="AK8">
        <v>95</v>
      </c>
      <c r="AL8">
        <v>100</v>
      </c>
      <c r="AM8"/>
      <c r="AN8" t="str">
        <f t="shared" si="3"/>
        <v>2LightLightHeavy25</v>
      </c>
      <c r="AO8">
        <v>2</v>
      </c>
      <c r="AP8" t="s">
        <v>20</v>
      </c>
      <c r="AQ8" t="s">
        <v>20</v>
      </c>
      <c r="AR8" t="s">
        <v>37</v>
      </c>
      <c r="AS8">
        <v>25</v>
      </c>
      <c r="AT8">
        <v>17</v>
      </c>
      <c r="AU8">
        <v>11</v>
      </c>
      <c r="AV8"/>
      <c r="AW8" t="str">
        <f t="shared" si="4"/>
        <v>2LightLightLightHeavy25</v>
      </c>
      <c r="AX8">
        <v>2</v>
      </c>
      <c r="AY8" t="s">
        <v>20</v>
      </c>
      <c r="AZ8" t="s">
        <v>20</v>
      </c>
      <c r="BA8" t="s">
        <v>20</v>
      </c>
      <c r="BB8" t="s">
        <v>37</v>
      </c>
      <c r="BC8">
        <v>25</v>
      </c>
      <c r="BD8">
        <v>23</v>
      </c>
      <c r="BE8">
        <v>21</v>
      </c>
      <c r="BF8">
        <v>11</v>
      </c>
      <c r="BG8"/>
      <c r="BH8" t="str">
        <f t="shared" si="5"/>
        <v>2LightLightHeavy25</v>
      </c>
      <c r="BI8">
        <v>2</v>
      </c>
      <c r="BJ8" t="s">
        <v>20</v>
      </c>
      <c r="BK8" t="s">
        <v>20</v>
      </c>
      <c r="BL8" t="s">
        <v>37</v>
      </c>
      <c r="BM8">
        <v>25</v>
      </c>
      <c r="BN8" s="1" t="s">
        <v>69</v>
      </c>
      <c r="BO8">
        <v>23</v>
      </c>
      <c r="BP8">
        <v>10</v>
      </c>
      <c r="BQ8"/>
      <c r="BR8"/>
      <c r="BS8">
        <v>3</v>
      </c>
      <c r="BT8" t="s">
        <v>20</v>
      </c>
      <c r="BU8" t="s">
        <v>20</v>
      </c>
      <c r="BV8" t="s">
        <v>37</v>
      </c>
      <c r="BW8">
        <v>25</v>
      </c>
      <c r="BX8">
        <v>19</v>
      </c>
      <c r="BY8">
        <v>12</v>
      </c>
      <c r="BZ8"/>
      <c r="CA8"/>
      <c r="CB8">
        <v>3</v>
      </c>
      <c r="CC8" t="s">
        <v>20</v>
      </c>
      <c r="CD8" t="s">
        <v>20</v>
      </c>
      <c r="CE8" t="s">
        <v>20</v>
      </c>
      <c r="CF8" t="s">
        <v>37</v>
      </c>
      <c r="CG8">
        <v>25</v>
      </c>
      <c r="CH8">
        <v>26</v>
      </c>
      <c r="CI8">
        <v>23</v>
      </c>
      <c r="CJ8">
        <v>11</v>
      </c>
      <c r="CK8"/>
      <c r="CL8"/>
      <c r="CM8">
        <v>3</v>
      </c>
      <c r="CN8" t="s">
        <v>20</v>
      </c>
      <c r="CO8" t="s">
        <v>20</v>
      </c>
      <c r="CP8" t="s">
        <v>37</v>
      </c>
      <c r="CQ8">
        <v>25</v>
      </c>
      <c r="CR8" s="1" t="s">
        <v>69</v>
      </c>
      <c r="CS8">
        <v>24</v>
      </c>
      <c r="CT8">
        <v>10</v>
      </c>
      <c r="CU8"/>
      <c r="CV8"/>
      <c r="CW8"/>
      <c r="CX8"/>
      <c r="CY8"/>
    </row>
    <row r="9" spans="1:125" ht="15" customHeight="1" x14ac:dyDescent="0.25">
      <c r="A9" s="93" t="s">
        <v>12</v>
      </c>
      <c r="B9" s="93"/>
      <c r="C9" s="73" t="s">
        <v>210</v>
      </c>
      <c r="D9" s="73"/>
      <c r="E9" s="25"/>
      <c r="F9" s="59" t="s">
        <v>101</v>
      </c>
      <c r="G9" s="59"/>
      <c r="H9" s="59"/>
      <c r="I9" s="87" t="s">
        <v>36</v>
      </c>
      <c r="J9" s="87"/>
      <c r="K9" s="122"/>
      <c r="L9" s="90"/>
      <c r="M9" s="123"/>
      <c r="N9"/>
      <c r="O9" s="88"/>
      <c r="P9" s="88"/>
      <c r="Q9" s="94"/>
      <c r="R9" s="94"/>
      <c r="S9" t="s">
        <v>34</v>
      </c>
      <c r="T9" s="4">
        <f>IF(C12&gt;10,"N/A",ROUND(C12,0))</f>
        <v>5</v>
      </c>
      <c r="U9" s="4" t="str">
        <f>T9&amp;T8</f>
        <v>53</v>
      </c>
      <c r="V9" t="str">
        <f t="shared" si="0"/>
        <v>62</v>
      </c>
      <c r="W9">
        <v>6</v>
      </c>
      <c r="X9">
        <v>2</v>
      </c>
      <c r="Y9">
        <v>95</v>
      </c>
      <c r="Z9">
        <v>100</v>
      </c>
      <c r="AA9"/>
      <c r="AB9" t="str">
        <f t="shared" si="1"/>
        <v>52</v>
      </c>
      <c r="AC9">
        <v>5</v>
      </c>
      <c r="AD9">
        <v>2</v>
      </c>
      <c r="AE9">
        <v>50</v>
      </c>
      <c r="AF9">
        <v>55</v>
      </c>
      <c r="AG9"/>
      <c r="AH9" t="str">
        <f t="shared" si="2"/>
        <v>73</v>
      </c>
      <c r="AI9">
        <v>7</v>
      </c>
      <c r="AJ9">
        <v>3</v>
      </c>
      <c r="AK9">
        <v>95</v>
      </c>
      <c r="AL9">
        <v>90</v>
      </c>
      <c r="AM9"/>
      <c r="AN9" t="str">
        <f t="shared" si="3"/>
        <v>2LightLightHeavy45</v>
      </c>
      <c r="AO9">
        <v>2</v>
      </c>
      <c r="AP9" t="s">
        <v>20</v>
      </c>
      <c r="AQ9" t="s">
        <v>20</v>
      </c>
      <c r="AR9" t="s">
        <v>37</v>
      </c>
      <c r="AS9">
        <v>45</v>
      </c>
      <c r="AT9">
        <v>18</v>
      </c>
      <c r="AU9">
        <v>12</v>
      </c>
      <c r="AV9"/>
      <c r="AW9" t="str">
        <f t="shared" si="4"/>
        <v>2LightLightLightHeavy45</v>
      </c>
      <c r="AX9">
        <v>2</v>
      </c>
      <c r="AY9" t="s">
        <v>20</v>
      </c>
      <c r="AZ9" t="s">
        <v>20</v>
      </c>
      <c r="BA9" t="s">
        <v>20</v>
      </c>
      <c r="BB9" t="s">
        <v>37</v>
      </c>
      <c r="BC9">
        <v>45</v>
      </c>
      <c r="BD9">
        <v>24</v>
      </c>
      <c r="BE9">
        <v>21</v>
      </c>
      <c r="BF9">
        <v>12</v>
      </c>
      <c r="BG9"/>
      <c r="BH9" t="str">
        <f t="shared" si="5"/>
        <v>2LightLightHeavy45</v>
      </c>
      <c r="BI9">
        <v>2</v>
      </c>
      <c r="BJ9" t="s">
        <v>20</v>
      </c>
      <c r="BK9" t="s">
        <v>20</v>
      </c>
      <c r="BL9" t="s">
        <v>37</v>
      </c>
      <c r="BM9">
        <v>45</v>
      </c>
      <c r="BN9" s="1" t="s">
        <v>69</v>
      </c>
      <c r="BO9">
        <v>23</v>
      </c>
      <c r="BP9">
        <v>11</v>
      </c>
      <c r="BQ9"/>
      <c r="BR9"/>
      <c r="BS9">
        <v>3</v>
      </c>
      <c r="BT9" t="s">
        <v>20</v>
      </c>
      <c r="BU9" t="s">
        <v>20</v>
      </c>
      <c r="BV9" t="s">
        <v>37</v>
      </c>
      <c r="BW9">
        <v>45</v>
      </c>
      <c r="BX9">
        <v>19</v>
      </c>
      <c r="BY9">
        <v>12</v>
      </c>
      <c r="BZ9"/>
      <c r="CA9"/>
      <c r="CB9">
        <v>3</v>
      </c>
      <c r="CC9" t="s">
        <v>20</v>
      </c>
      <c r="CD9" t="s">
        <v>20</v>
      </c>
      <c r="CE9" t="s">
        <v>20</v>
      </c>
      <c r="CF9" t="s">
        <v>37</v>
      </c>
      <c r="CG9">
        <v>45</v>
      </c>
      <c r="CH9">
        <v>27</v>
      </c>
      <c r="CI9">
        <v>24</v>
      </c>
      <c r="CJ9">
        <v>12</v>
      </c>
      <c r="CK9"/>
      <c r="CL9"/>
      <c r="CM9">
        <v>3</v>
      </c>
      <c r="CN9" t="s">
        <v>20</v>
      </c>
      <c r="CO9" t="s">
        <v>20</v>
      </c>
      <c r="CP9" t="s">
        <v>37</v>
      </c>
      <c r="CQ9">
        <v>45</v>
      </c>
      <c r="CR9" s="1" t="s">
        <v>69</v>
      </c>
      <c r="CS9">
        <v>25</v>
      </c>
      <c r="CT9">
        <v>11</v>
      </c>
      <c r="CU9"/>
      <c r="CV9"/>
      <c r="CW9"/>
      <c r="CX9"/>
      <c r="CY9"/>
    </row>
    <row r="10" spans="1:125" ht="15" customHeight="1" x14ac:dyDescent="0.25">
      <c r="A10" s="59" t="s">
        <v>25</v>
      </c>
      <c r="B10" s="59"/>
      <c r="C10" s="116">
        <v>20.5</v>
      </c>
      <c r="D10" s="116"/>
      <c r="E10" s="23" t="s">
        <v>30</v>
      </c>
      <c r="F10" s="59" t="s">
        <v>102</v>
      </c>
      <c r="G10" s="59"/>
      <c r="H10" s="59"/>
      <c r="I10" s="87" t="s">
        <v>20</v>
      </c>
      <c r="J10" s="87"/>
      <c r="K10" s="122"/>
      <c r="L10" s="90"/>
      <c r="M10" s="123"/>
      <c r="N10"/>
      <c r="O10" s="2"/>
      <c r="P10" s="2"/>
      <c r="Q10" s="3"/>
      <c r="R10" s="3"/>
      <c r="S10" t="s">
        <v>33</v>
      </c>
      <c r="T10" s="4">
        <f>IF(C16+C13&gt;10,"N/A",ROUND(C16+C13,0))</f>
        <v>5</v>
      </c>
      <c r="U10" s="4" t="str">
        <f>T10&amp;T8</f>
        <v>53</v>
      </c>
      <c r="V10" t="str">
        <f>W10&amp;X10</f>
        <v>63</v>
      </c>
      <c r="W10">
        <v>6</v>
      </c>
      <c r="X10">
        <v>3</v>
      </c>
      <c r="Y10">
        <v>95</v>
      </c>
      <c r="Z10">
        <v>90</v>
      </c>
      <c r="AA10"/>
      <c r="AB10" t="str">
        <f t="shared" ref="AB10:AB21" si="6">AC10&amp;AD10</f>
        <v>53</v>
      </c>
      <c r="AC10">
        <v>5</v>
      </c>
      <c r="AD10">
        <v>3</v>
      </c>
      <c r="AE10">
        <v>60</v>
      </c>
      <c r="AF10">
        <v>55</v>
      </c>
      <c r="AG10"/>
      <c r="AH10" t="str">
        <f t="shared" ref="AH10:AH21" si="7">AI10&amp;AJ10</f>
        <v>74</v>
      </c>
      <c r="AI10">
        <v>7</v>
      </c>
      <c r="AJ10">
        <v>4</v>
      </c>
      <c r="AK10">
        <v>105</v>
      </c>
      <c r="AL10">
        <v>80</v>
      </c>
      <c r="AM10"/>
      <c r="AN10" t="str">
        <f t="shared" ref="AN10:AN21" si="8">AO10&amp;AP10&amp;AQ10&amp;AR10&amp;AS10</f>
        <v>2LightLightHeavy60</v>
      </c>
      <c r="AO10">
        <v>2</v>
      </c>
      <c r="AP10" t="s">
        <v>20</v>
      </c>
      <c r="AQ10" t="s">
        <v>20</v>
      </c>
      <c r="AR10" t="s">
        <v>37</v>
      </c>
      <c r="AS10">
        <v>60</v>
      </c>
      <c r="AT10">
        <v>19</v>
      </c>
      <c r="AU10">
        <v>13</v>
      </c>
      <c r="AV10"/>
      <c r="AW10" t="str">
        <f t="shared" ref="AW10:AW22" si="9">AX10&amp;AY10&amp;AZ10&amp;BA10&amp;BB10&amp;BC10</f>
        <v>2LightLightLightHeavy60</v>
      </c>
      <c r="AX10">
        <v>2</v>
      </c>
      <c r="AY10" t="s">
        <v>20</v>
      </c>
      <c r="AZ10" t="s">
        <v>20</v>
      </c>
      <c r="BA10" t="s">
        <v>20</v>
      </c>
      <c r="BB10" t="s">
        <v>37</v>
      </c>
      <c r="BC10">
        <v>60</v>
      </c>
      <c r="BD10">
        <v>25</v>
      </c>
      <c r="BE10">
        <v>22</v>
      </c>
      <c r="BF10">
        <v>13</v>
      </c>
      <c r="BG10"/>
      <c r="BH10" t="str">
        <f t="shared" ref="BH10:BH37" si="10">BI10&amp;BJ10&amp;BK10&amp;BL10&amp;BM10</f>
        <v>2LightLightHeavy60</v>
      </c>
      <c r="BI10">
        <v>2</v>
      </c>
      <c r="BJ10" t="s">
        <v>20</v>
      </c>
      <c r="BK10" t="s">
        <v>20</v>
      </c>
      <c r="BL10" t="s">
        <v>37</v>
      </c>
      <c r="BM10">
        <v>60</v>
      </c>
      <c r="BN10" s="1" t="s">
        <v>69</v>
      </c>
      <c r="BO10">
        <v>24</v>
      </c>
      <c r="BP10">
        <v>12</v>
      </c>
      <c r="BQ10"/>
      <c r="BR10"/>
      <c r="BS10">
        <v>3</v>
      </c>
      <c r="BT10" t="s">
        <v>20</v>
      </c>
      <c r="BU10" t="s">
        <v>20</v>
      </c>
      <c r="BV10" t="s">
        <v>37</v>
      </c>
      <c r="BW10">
        <v>60</v>
      </c>
      <c r="BX10">
        <v>20</v>
      </c>
      <c r="BY10">
        <v>14</v>
      </c>
      <c r="BZ10"/>
      <c r="CA10"/>
      <c r="CB10">
        <v>3</v>
      </c>
      <c r="CC10" t="s">
        <v>20</v>
      </c>
      <c r="CD10" t="s">
        <v>20</v>
      </c>
      <c r="CE10" t="s">
        <v>20</v>
      </c>
      <c r="CF10" t="s">
        <v>37</v>
      </c>
      <c r="CG10">
        <v>60</v>
      </c>
      <c r="CH10">
        <v>28</v>
      </c>
      <c r="CI10">
        <v>15</v>
      </c>
      <c r="CJ10">
        <v>14</v>
      </c>
      <c r="CK10"/>
      <c r="CL10"/>
      <c r="CM10"/>
      <c r="CN10"/>
      <c r="CO10"/>
      <c r="CP10"/>
      <c r="CQ10"/>
      <c r="CR10" s="1"/>
      <c r="CS10"/>
      <c r="CT10"/>
      <c r="CU10"/>
      <c r="CV10"/>
      <c r="CW10"/>
      <c r="CX10"/>
      <c r="CY10"/>
    </row>
    <row r="11" spans="1:125" ht="15" customHeight="1" x14ac:dyDescent="0.25">
      <c r="A11" s="59" t="s">
        <v>26</v>
      </c>
      <c r="B11" s="59"/>
      <c r="C11" s="116">
        <v>10</v>
      </c>
      <c r="D11" s="116"/>
      <c r="E11" s="23" t="s">
        <v>30</v>
      </c>
      <c r="F11" s="59" t="s">
        <v>91</v>
      </c>
      <c r="G11" s="59"/>
      <c r="H11" s="59"/>
      <c r="I11" s="86" t="s">
        <v>20</v>
      </c>
      <c r="J11" s="86"/>
      <c r="K11" s="122"/>
      <c r="L11" s="90"/>
      <c r="M11" s="123"/>
      <c r="N11"/>
      <c r="O11" s="88"/>
      <c r="P11" s="88"/>
      <c r="Q11" s="94"/>
      <c r="R11" s="94"/>
      <c r="S11"/>
      <c r="T11"/>
      <c r="U11"/>
      <c r="V11" t="str">
        <f>W11&amp;X11</f>
        <v>70</v>
      </c>
      <c r="W11">
        <v>7</v>
      </c>
      <c r="X11">
        <v>0</v>
      </c>
      <c r="Y11">
        <v>155</v>
      </c>
      <c r="Z11">
        <v>155</v>
      </c>
      <c r="AA11"/>
      <c r="AB11" t="str">
        <f t="shared" si="6"/>
        <v>61</v>
      </c>
      <c r="AC11">
        <v>6</v>
      </c>
      <c r="AD11">
        <v>1</v>
      </c>
      <c r="AE11">
        <v>60</v>
      </c>
      <c r="AF11">
        <v>65</v>
      </c>
      <c r="AG11"/>
      <c r="AH11" t="str">
        <f t="shared" si="7"/>
        <v>80</v>
      </c>
      <c r="AI11">
        <v>8</v>
      </c>
      <c r="AJ11">
        <v>0</v>
      </c>
      <c r="AK11">
        <v>145</v>
      </c>
      <c r="AL11">
        <v>145</v>
      </c>
      <c r="AM11"/>
      <c r="AN11" t="str">
        <f t="shared" si="8"/>
        <v>2LightMediumMedium25</v>
      </c>
      <c r="AO11">
        <v>2</v>
      </c>
      <c r="AP11" t="s">
        <v>20</v>
      </c>
      <c r="AQ11" t="s">
        <v>36</v>
      </c>
      <c r="AR11" t="s">
        <v>36</v>
      </c>
      <c r="AS11">
        <v>25</v>
      </c>
      <c r="AT11">
        <v>18</v>
      </c>
      <c r="AU11">
        <v>12</v>
      </c>
      <c r="AV11"/>
      <c r="AW11" t="str">
        <f t="shared" si="9"/>
        <v>2LightLightMediumMedium25</v>
      </c>
      <c r="AX11">
        <v>2</v>
      </c>
      <c r="AY11" t="s">
        <v>20</v>
      </c>
      <c r="AZ11" t="s">
        <v>20</v>
      </c>
      <c r="BA11" t="s">
        <v>36</v>
      </c>
      <c r="BB11" t="s">
        <v>36</v>
      </c>
      <c r="BC11">
        <v>25</v>
      </c>
      <c r="BD11">
        <v>26</v>
      </c>
      <c r="BE11">
        <v>23</v>
      </c>
      <c r="BF11">
        <v>11</v>
      </c>
      <c r="BG11"/>
      <c r="BH11" t="str">
        <f t="shared" si="10"/>
        <v>2LightMediumMedium25</v>
      </c>
      <c r="BI11">
        <v>2</v>
      </c>
      <c r="BJ11" t="s">
        <v>20</v>
      </c>
      <c r="BK11" t="s">
        <v>36</v>
      </c>
      <c r="BL11" t="s">
        <v>36</v>
      </c>
      <c r="BM11">
        <v>25</v>
      </c>
      <c r="BN11">
        <v>6</v>
      </c>
      <c r="BO11">
        <v>20</v>
      </c>
      <c r="BP11">
        <v>10</v>
      </c>
      <c r="BQ11"/>
      <c r="BR11"/>
      <c r="BS11">
        <v>3</v>
      </c>
      <c r="BT11" t="s">
        <v>20</v>
      </c>
      <c r="BU11" t="s">
        <v>36</v>
      </c>
      <c r="BV11" t="s">
        <v>36</v>
      </c>
      <c r="BW11">
        <v>25</v>
      </c>
      <c r="BX11">
        <v>19</v>
      </c>
      <c r="BY11">
        <v>13</v>
      </c>
      <c r="BZ11"/>
      <c r="CA11"/>
      <c r="CB11">
        <v>3</v>
      </c>
      <c r="CC11" t="s">
        <v>20</v>
      </c>
      <c r="CD11" t="s">
        <v>20</v>
      </c>
      <c r="CE11" t="s">
        <v>36</v>
      </c>
      <c r="CF11" t="s">
        <v>36</v>
      </c>
      <c r="CG11">
        <v>25</v>
      </c>
      <c r="CH11">
        <v>29</v>
      </c>
      <c r="CI11">
        <v>25</v>
      </c>
      <c r="CJ11">
        <v>12</v>
      </c>
      <c r="CK11"/>
      <c r="CL11"/>
      <c r="CM11">
        <v>3</v>
      </c>
      <c r="CN11" t="s">
        <v>20</v>
      </c>
      <c r="CO11" t="s">
        <v>20</v>
      </c>
      <c r="CP11" t="s">
        <v>37</v>
      </c>
      <c r="CQ11">
        <v>60</v>
      </c>
      <c r="CR11" s="1" t="s">
        <v>69</v>
      </c>
      <c r="CS11">
        <v>26</v>
      </c>
      <c r="CT11">
        <v>12</v>
      </c>
      <c r="CU11"/>
      <c r="CV11"/>
      <c r="CW11"/>
      <c r="CX11"/>
      <c r="CY11"/>
    </row>
    <row r="12" spans="1:125" ht="15" customHeight="1" x14ac:dyDescent="0.25">
      <c r="A12" s="93" t="s">
        <v>184</v>
      </c>
      <c r="B12" s="93"/>
      <c r="C12" s="116">
        <v>5.4</v>
      </c>
      <c r="D12" s="116"/>
      <c r="E12" s="23" t="s">
        <v>30</v>
      </c>
      <c r="F12" s="59" t="s">
        <v>93</v>
      </c>
      <c r="G12" s="59"/>
      <c r="H12" s="59"/>
      <c r="I12" s="86" t="s">
        <v>20</v>
      </c>
      <c r="J12" s="86"/>
      <c r="K12" s="122"/>
      <c r="L12" s="90"/>
      <c r="M12" s="123"/>
      <c r="N12"/>
      <c r="O12" s="88"/>
      <c r="P12" s="88"/>
      <c r="Q12" s="94"/>
      <c r="R12" s="94"/>
      <c r="S12"/>
      <c r="T12"/>
      <c r="U12"/>
      <c r="V12" t="str">
        <f>W12&amp;X12</f>
        <v>71</v>
      </c>
      <c r="W12">
        <v>7</v>
      </c>
      <c r="X12">
        <v>1</v>
      </c>
      <c r="Y12">
        <v>130</v>
      </c>
      <c r="Z12">
        <v>135</v>
      </c>
      <c r="AA12"/>
      <c r="AB12" t="str">
        <f t="shared" si="6"/>
        <v>62</v>
      </c>
      <c r="AC12">
        <v>6</v>
      </c>
      <c r="AD12">
        <v>2</v>
      </c>
      <c r="AE12">
        <v>60</v>
      </c>
      <c r="AF12">
        <v>65</v>
      </c>
      <c r="AG12"/>
      <c r="AH12" t="str">
        <f t="shared" si="7"/>
        <v>81</v>
      </c>
      <c r="AI12">
        <v>8</v>
      </c>
      <c r="AJ12">
        <v>1</v>
      </c>
      <c r="AK12">
        <v>125</v>
      </c>
      <c r="AL12">
        <v>135</v>
      </c>
      <c r="AM12"/>
      <c r="AN12" t="str">
        <f t="shared" si="8"/>
        <v>2LightMediumMedium45</v>
      </c>
      <c r="AO12">
        <v>2</v>
      </c>
      <c r="AP12" t="s">
        <v>20</v>
      </c>
      <c r="AQ12" t="s">
        <v>36</v>
      </c>
      <c r="AR12" t="s">
        <v>36</v>
      </c>
      <c r="AS12">
        <v>45</v>
      </c>
      <c r="AT12">
        <v>18</v>
      </c>
      <c r="AU12">
        <v>13</v>
      </c>
      <c r="AV12"/>
      <c r="AW12" t="str">
        <f t="shared" si="9"/>
        <v>2LightLightMediumMedium45</v>
      </c>
      <c r="AX12">
        <v>2</v>
      </c>
      <c r="AY12" t="s">
        <v>20</v>
      </c>
      <c r="AZ12" t="s">
        <v>20</v>
      </c>
      <c r="BA12" t="s">
        <v>36</v>
      </c>
      <c r="BB12" t="s">
        <v>36</v>
      </c>
      <c r="BC12">
        <v>45</v>
      </c>
      <c r="BD12">
        <v>27</v>
      </c>
      <c r="BE12">
        <v>24</v>
      </c>
      <c r="BF12">
        <v>12</v>
      </c>
      <c r="BG12"/>
      <c r="BH12" t="str">
        <f t="shared" si="10"/>
        <v>2LightMediumMedium45</v>
      </c>
      <c r="BI12">
        <v>2</v>
      </c>
      <c r="BJ12" t="s">
        <v>20</v>
      </c>
      <c r="BK12" t="s">
        <v>36</v>
      </c>
      <c r="BL12" t="s">
        <v>36</v>
      </c>
      <c r="BM12">
        <v>45</v>
      </c>
      <c r="BN12">
        <v>7</v>
      </c>
      <c r="BO12">
        <v>20</v>
      </c>
      <c r="BP12">
        <v>11</v>
      </c>
      <c r="BQ12"/>
      <c r="BR12"/>
      <c r="BS12">
        <v>3</v>
      </c>
      <c r="BT12" t="s">
        <v>20</v>
      </c>
      <c r="BU12" t="s">
        <v>36</v>
      </c>
      <c r="BV12" t="s">
        <v>36</v>
      </c>
      <c r="BW12">
        <v>45</v>
      </c>
      <c r="BX12">
        <v>20</v>
      </c>
      <c r="BY12">
        <v>13</v>
      </c>
      <c r="BZ12"/>
      <c r="CA12"/>
      <c r="CB12">
        <v>3</v>
      </c>
      <c r="CC12" t="s">
        <v>20</v>
      </c>
      <c r="CD12" t="s">
        <v>20</v>
      </c>
      <c r="CE12" t="s">
        <v>36</v>
      </c>
      <c r="CF12" t="s">
        <v>36</v>
      </c>
      <c r="CG12">
        <v>45</v>
      </c>
      <c r="CH12">
        <v>30</v>
      </c>
      <c r="CI12">
        <v>26</v>
      </c>
      <c r="CJ12">
        <v>13</v>
      </c>
      <c r="CK12"/>
      <c r="CL12"/>
      <c r="CM12">
        <v>3</v>
      </c>
      <c r="CN12" t="s">
        <v>20</v>
      </c>
      <c r="CO12" t="s">
        <v>36</v>
      </c>
      <c r="CP12" t="s">
        <v>36</v>
      </c>
      <c r="CQ12">
        <v>25</v>
      </c>
      <c r="CR12">
        <v>6</v>
      </c>
      <c r="CS12">
        <v>21</v>
      </c>
      <c r="CT12">
        <v>11</v>
      </c>
      <c r="CU12"/>
      <c r="CV12"/>
      <c r="CW12"/>
      <c r="CX12"/>
      <c r="CY12"/>
    </row>
    <row r="13" spans="1:125" ht="15" customHeight="1" x14ac:dyDescent="0.25">
      <c r="A13" s="59" t="s">
        <v>19</v>
      </c>
      <c r="B13" s="59"/>
      <c r="C13" s="116">
        <v>2.9</v>
      </c>
      <c r="D13" s="116"/>
      <c r="E13" s="25" t="s">
        <v>30</v>
      </c>
      <c r="F13" s="59" t="s">
        <v>145</v>
      </c>
      <c r="G13" s="59"/>
      <c r="H13" s="59"/>
      <c r="I13" s="26">
        <v>166</v>
      </c>
      <c r="J13" s="27" t="s">
        <v>211</v>
      </c>
      <c r="K13" s="122"/>
      <c r="L13" s="90"/>
      <c r="M13" s="123"/>
      <c r="N13"/>
      <c r="O13" s="2"/>
      <c r="P13" s="2"/>
      <c r="Q13" s="3"/>
      <c r="R13" s="3"/>
      <c r="S13"/>
      <c r="T13"/>
      <c r="U13"/>
      <c r="V13" t="str">
        <f>W13&amp;X13</f>
        <v>72</v>
      </c>
      <c r="W13">
        <v>7</v>
      </c>
      <c r="X13">
        <v>2</v>
      </c>
      <c r="Y13">
        <v>120</v>
      </c>
      <c r="Z13">
        <v>125</v>
      </c>
      <c r="AA13"/>
      <c r="AB13" t="str">
        <f t="shared" si="6"/>
        <v>63</v>
      </c>
      <c r="AC13">
        <v>6</v>
      </c>
      <c r="AD13">
        <v>3</v>
      </c>
      <c r="AE13">
        <v>75</v>
      </c>
      <c r="AF13">
        <v>65</v>
      </c>
      <c r="AG13"/>
      <c r="AH13" t="str">
        <f t="shared" si="7"/>
        <v>82</v>
      </c>
      <c r="AI13">
        <v>8</v>
      </c>
      <c r="AJ13">
        <v>2</v>
      </c>
      <c r="AK13">
        <v>120</v>
      </c>
      <c r="AL13">
        <v>120</v>
      </c>
      <c r="AM13"/>
      <c r="AN13" t="str">
        <f t="shared" si="8"/>
        <v>2LightMediumMedium60</v>
      </c>
      <c r="AO13">
        <v>2</v>
      </c>
      <c r="AP13" t="s">
        <v>20</v>
      </c>
      <c r="AQ13" t="s">
        <v>36</v>
      </c>
      <c r="AR13" t="s">
        <v>36</v>
      </c>
      <c r="AS13">
        <v>60</v>
      </c>
      <c r="AT13">
        <v>19</v>
      </c>
      <c r="AU13">
        <v>14</v>
      </c>
      <c r="AV13"/>
      <c r="AW13" t="str">
        <f t="shared" si="9"/>
        <v>2LightLightMediumMedium60</v>
      </c>
      <c r="AX13">
        <v>2</v>
      </c>
      <c r="AY13" t="s">
        <v>20</v>
      </c>
      <c r="AZ13" t="s">
        <v>20</v>
      </c>
      <c r="BA13" t="s">
        <v>36</v>
      </c>
      <c r="BB13" t="s">
        <v>36</v>
      </c>
      <c r="BC13">
        <v>60</v>
      </c>
      <c r="BD13">
        <v>28</v>
      </c>
      <c r="BE13">
        <v>25</v>
      </c>
      <c r="BF13">
        <v>14</v>
      </c>
      <c r="BG13"/>
      <c r="BH13" t="str">
        <f t="shared" si="10"/>
        <v>2LightMediumMedium60</v>
      </c>
      <c r="BI13">
        <v>2</v>
      </c>
      <c r="BJ13" t="s">
        <v>20</v>
      </c>
      <c r="BK13" t="s">
        <v>36</v>
      </c>
      <c r="BL13" t="s">
        <v>36</v>
      </c>
      <c r="BM13">
        <v>60</v>
      </c>
      <c r="BN13">
        <v>8</v>
      </c>
      <c r="BO13">
        <v>21</v>
      </c>
      <c r="BP13">
        <v>12</v>
      </c>
      <c r="BQ13"/>
      <c r="BR13"/>
      <c r="BS13">
        <v>3</v>
      </c>
      <c r="BT13" t="s">
        <v>20</v>
      </c>
      <c r="BU13" t="s">
        <v>36</v>
      </c>
      <c r="BV13" t="s">
        <v>36</v>
      </c>
      <c r="BW13">
        <v>60</v>
      </c>
      <c r="BX13">
        <v>21</v>
      </c>
      <c r="BY13">
        <v>15</v>
      </c>
      <c r="BZ13"/>
      <c r="CA13"/>
      <c r="CB13">
        <v>3</v>
      </c>
      <c r="CC13" t="s">
        <v>20</v>
      </c>
      <c r="CD13" t="s">
        <v>20</v>
      </c>
      <c r="CE13" t="s">
        <v>36</v>
      </c>
      <c r="CF13" t="s">
        <v>36</v>
      </c>
      <c r="CG13">
        <v>60</v>
      </c>
      <c r="CH13">
        <v>31</v>
      </c>
      <c r="CI13">
        <v>27</v>
      </c>
      <c r="CJ13">
        <v>14</v>
      </c>
      <c r="CK13"/>
      <c r="CL13"/>
      <c r="CM13">
        <v>3</v>
      </c>
      <c r="CN13" t="s">
        <v>20</v>
      </c>
      <c r="CO13" t="s">
        <v>36</v>
      </c>
      <c r="CP13" t="s">
        <v>36</v>
      </c>
      <c r="CQ13">
        <v>45</v>
      </c>
      <c r="CR13">
        <v>7</v>
      </c>
      <c r="CS13">
        <v>22</v>
      </c>
      <c r="CT13">
        <v>11</v>
      </c>
      <c r="CU13"/>
      <c r="CV13"/>
      <c r="CW13"/>
      <c r="CX13"/>
      <c r="CY13"/>
    </row>
    <row r="14" spans="1:125" ht="15" customHeight="1" x14ac:dyDescent="0.25">
      <c r="A14" s="59" t="s">
        <v>127</v>
      </c>
      <c r="B14" s="59"/>
      <c r="C14" s="116">
        <v>0.2</v>
      </c>
      <c r="D14" s="116"/>
      <c r="E14" s="24" t="s">
        <v>30</v>
      </c>
      <c r="F14" s="59" t="s">
        <v>144</v>
      </c>
      <c r="G14" s="59"/>
      <c r="H14" s="59"/>
      <c r="I14" s="26">
        <v>120</v>
      </c>
      <c r="J14" s="27" t="s">
        <v>211</v>
      </c>
      <c r="K14" s="122"/>
      <c r="L14" s="90"/>
      <c r="M14" s="123"/>
      <c r="N14"/>
      <c r="O14" s="2"/>
      <c r="P14" s="2"/>
      <c r="Q14" s="3"/>
      <c r="R14" s="3"/>
      <c r="S14"/>
      <c r="T14"/>
      <c r="U14"/>
      <c r="V14" t="str">
        <f t="shared" ref="V14:V21" si="11">W14&amp;X14</f>
        <v>73</v>
      </c>
      <c r="W14">
        <v>7</v>
      </c>
      <c r="X14">
        <v>3</v>
      </c>
      <c r="Y14">
        <v>115</v>
      </c>
      <c r="Z14">
        <v>115</v>
      </c>
      <c r="AA14"/>
      <c r="AB14" t="str">
        <f t="shared" si="6"/>
        <v>64</v>
      </c>
      <c r="AC14">
        <v>6</v>
      </c>
      <c r="AD14">
        <v>4</v>
      </c>
      <c r="AE14">
        <v>95</v>
      </c>
      <c r="AF14">
        <v>65</v>
      </c>
      <c r="AG14"/>
      <c r="AH14" t="str">
        <f t="shared" si="7"/>
        <v>83</v>
      </c>
      <c r="AI14">
        <v>8</v>
      </c>
      <c r="AJ14">
        <v>3</v>
      </c>
      <c r="AK14">
        <v>120</v>
      </c>
      <c r="AL14">
        <v>110</v>
      </c>
      <c r="AM14"/>
      <c r="AN14" t="str">
        <f t="shared" si="8"/>
        <v>2LightMediumHeavy25</v>
      </c>
      <c r="AO14">
        <v>2</v>
      </c>
      <c r="AP14" t="s">
        <v>20</v>
      </c>
      <c r="AQ14" t="s">
        <v>36</v>
      </c>
      <c r="AR14" t="s">
        <v>37</v>
      </c>
      <c r="AS14">
        <v>25</v>
      </c>
      <c r="AT14">
        <v>20</v>
      </c>
      <c r="AU14">
        <v>13</v>
      </c>
      <c r="AV14"/>
      <c r="AW14" t="str">
        <f t="shared" si="9"/>
        <v>2LightLightMediumHeavy25</v>
      </c>
      <c r="AX14">
        <v>2</v>
      </c>
      <c r="AY14" t="s">
        <v>20</v>
      </c>
      <c r="AZ14" t="s">
        <v>20</v>
      </c>
      <c r="BA14" t="s">
        <v>36</v>
      </c>
      <c r="BB14" t="s">
        <v>37</v>
      </c>
      <c r="BC14">
        <v>25</v>
      </c>
      <c r="BD14">
        <v>26</v>
      </c>
      <c r="BE14">
        <v>23</v>
      </c>
      <c r="BF14">
        <v>11</v>
      </c>
      <c r="BG14"/>
      <c r="BH14" t="str">
        <f t="shared" si="10"/>
        <v>2LightMediumHeavy25</v>
      </c>
      <c r="BI14">
        <v>2</v>
      </c>
      <c r="BJ14" t="s">
        <v>20</v>
      </c>
      <c r="BK14" t="s">
        <v>36</v>
      </c>
      <c r="BL14" t="s">
        <v>37</v>
      </c>
      <c r="BM14">
        <v>25</v>
      </c>
      <c r="BN14" s="1" t="s">
        <v>69</v>
      </c>
      <c r="BO14">
        <v>25</v>
      </c>
      <c r="BP14">
        <v>11</v>
      </c>
      <c r="BQ14"/>
      <c r="BR14"/>
      <c r="BS14">
        <v>3</v>
      </c>
      <c r="BT14" t="s">
        <v>20</v>
      </c>
      <c r="BU14" t="s">
        <v>36</v>
      </c>
      <c r="BV14" t="s">
        <v>37</v>
      </c>
      <c r="BW14">
        <v>25</v>
      </c>
      <c r="BX14">
        <v>21</v>
      </c>
      <c r="BY14">
        <v>13</v>
      </c>
      <c r="BZ14"/>
      <c r="CA14"/>
      <c r="CB14">
        <v>3</v>
      </c>
      <c r="CC14" t="s">
        <v>20</v>
      </c>
      <c r="CD14" t="s">
        <v>20</v>
      </c>
      <c r="CE14" t="s">
        <v>36</v>
      </c>
      <c r="CF14" t="s">
        <v>37</v>
      </c>
      <c r="CG14">
        <v>25</v>
      </c>
      <c r="CH14">
        <v>29</v>
      </c>
      <c r="CI14">
        <v>25</v>
      </c>
      <c r="CJ14">
        <v>12</v>
      </c>
      <c r="CK14"/>
      <c r="CL14"/>
      <c r="CM14">
        <v>3</v>
      </c>
      <c r="CN14" t="s">
        <v>20</v>
      </c>
      <c r="CO14" t="s">
        <v>36</v>
      </c>
      <c r="CP14" t="s">
        <v>36</v>
      </c>
      <c r="CQ14">
        <v>60</v>
      </c>
      <c r="CR14">
        <v>8</v>
      </c>
      <c r="CS14">
        <v>23</v>
      </c>
      <c r="CT14">
        <v>13</v>
      </c>
      <c r="CU14"/>
      <c r="CV14"/>
      <c r="CW14"/>
      <c r="CX14"/>
      <c r="CY14"/>
    </row>
    <row r="15" spans="1:125" ht="15" customHeight="1" x14ac:dyDescent="0.25">
      <c r="A15" s="59" t="s">
        <v>128</v>
      </c>
      <c r="B15" s="59"/>
      <c r="C15" s="72">
        <v>2.4</v>
      </c>
      <c r="D15" s="72"/>
      <c r="E15" s="25" t="s">
        <v>30</v>
      </c>
      <c r="F15" s="92" t="s">
        <v>140</v>
      </c>
      <c r="G15" s="92"/>
      <c r="H15" s="92"/>
      <c r="I15" s="28" t="s">
        <v>209</v>
      </c>
      <c r="J15" s="29"/>
      <c r="K15" s="122"/>
      <c r="L15" s="90"/>
      <c r="M15" s="123"/>
      <c r="N15"/>
      <c r="O15" s="2"/>
      <c r="P15" s="2"/>
      <c r="Q15" s="3"/>
      <c r="R15" s="3"/>
      <c r="S15"/>
      <c r="T15"/>
      <c r="U15"/>
      <c r="V15" t="str">
        <f t="shared" si="11"/>
        <v>74</v>
      </c>
      <c r="W15">
        <v>7</v>
      </c>
      <c r="X15">
        <v>4</v>
      </c>
      <c r="Y15">
        <v>124</v>
      </c>
      <c r="Z15">
        <v>100</v>
      </c>
      <c r="AA15"/>
      <c r="AB15" t="str">
        <f t="shared" si="6"/>
        <v>72</v>
      </c>
      <c r="AC15">
        <v>7</v>
      </c>
      <c r="AD15">
        <v>2</v>
      </c>
      <c r="AE15">
        <v>75</v>
      </c>
      <c r="AF15">
        <v>80</v>
      </c>
      <c r="AG15"/>
      <c r="AH15" t="str">
        <f t="shared" si="7"/>
        <v>84</v>
      </c>
      <c r="AI15">
        <v>8</v>
      </c>
      <c r="AJ15">
        <v>4</v>
      </c>
      <c r="AK15">
        <v>125</v>
      </c>
      <c r="AL15">
        <v>100</v>
      </c>
      <c r="AM15"/>
      <c r="AN15" t="str">
        <f t="shared" si="8"/>
        <v>2LightMediumHeavy45</v>
      </c>
      <c r="AO15">
        <v>2</v>
      </c>
      <c r="AP15" t="s">
        <v>20</v>
      </c>
      <c r="AQ15" t="s">
        <v>36</v>
      </c>
      <c r="AR15" t="s">
        <v>37</v>
      </c>
      <c r="AS15">
        <v>45</v>
      </c>
      <c r="AT15">
        <v>20</v>
      </c>
      <c r="AU15">
        <v>14</v>
      </c>
      <c r="AV15"/>
      <c r="AW15" t="str">
        <f t="shared" si="9"/>
        <v>2LightLightMediumHeavy45</v>
      </c>
      <c r="AX15">
        <v>2</v>
      </c>
      <c r="AY15" t="s">
        <v>20</v>
      </c>
      <c r="AZ15" t="s">
        <v>20</v>
      </c>
      <c r="BA15" t="s">
        <v>36</v>
      </c>
      <c r="BB15" t="s">
        <v>37</v>
      </c>
      <c r="BC15">
        <v>45</v>
      </c>
      <c r="BD15">
        <v>27</v>
      </c>
      <c r="BE15">
        <v>24</v>
      </c>
      <c r="BF15">
        <v>12</v>
      </c>
      <c r="BG15"/>
      <c r="BH15" t="str">
        <f t="shared" si="10"/>
        <v>2LightMediumHeavy45</v>
      </c>
      <c r="BI15">
        <v>2</v>
      </c>
      <c r="BJ15" t="s">
        <v>20</v>
      </c>
      <c r="BK15" t="s">
        <v>36</v>
      </c>
      <c r="BL15" t="s">
        <v>37</v>
      </c>
      <c r="BM15">
        <v>45</v>
      </c>
      <c r="BN15" s="1" t="s">
        <v>69</v>
      </c>
      <c r="BO15">
        <v>26</v>
      </c>
      <c r="BP15">
        <v>12</v>
      </c>
      <c r="BQ15"/>
      <c r="BR15"/>
      <c r="BS15">
        <v>3</v>
      </c>
      <c r="BT15" t="s">
        <v>20</v>
      </c>
      <c r="BU15" t="s">
        <v>36</v>
      </c>
      <c r="BV15" t="s">
        <v>37</v>
      </c>
      <c r="BW15">
        <v>45</v>
      </c>
      <c r="BX15">
        <v>22</v>
      </c>
      <c r="BY15">
        <v>14</v>
      </c>
      <c r="BZ15"/>
      <c r="CA15"/>
      <c r="CB15">
        <v>3</v>
      </c>
      <c r="CC15" t="s">
        <v>20</v>
      </c>
      <c r="CD15" t="s">
        <v>20</v>
      </c>
      <c r="CE15" t="s">
        <v>36</v>
      </c>
      <c r="CF15" t="s">
        <v>37</v>
      </c>
      <c r="CG15">
        <v>45</v>
      </c>
      <c r="CH15">
        <v>30</v>
      </c>
      <c r="CI15">
        <v>26</v>
      </c>
      <c r="CJ15">
        <v>13</v>
      </c>
      <c r="CK15"/>
      <c r="CL15"/>
      <c r="CM15">
        <v>3</v>
      </c>
      <c r="CN15" t="s">
        <v>20</v>
      </c>
      <c r="CO15" t="s">
        <v>36</v>
      </c>
      <c r="CP15" t="s">
        <v>37</v>
      </c>
      <c r="CQ15">
        <v>25</v>
      </c>
      <c r="CR15" s="1" t="s">
        <v>69</v>
      </c>
      <c r="CS15">
        <v>27</v>
      </c>
      <c r="CT15">
        <v>11</v>
      </c>
      <c r="CU15"/>
      <c r="CV15"/>
      <c r="CW15"/>
      <c r="CX15"/>
      <c r="CY15"/>
    </row>
    <row r="16" spans="1:125" ht="15" customHeight="1" x14ac:dyDescent="0.25">
      <c r="A16" s="59" t="s">
        <v>100</v>
      </c>
      <c r="B16" s="59"/>
      <c r="C16" s="72">
        <v>2.4</v>
      </c>
      <c r="D16" s="72"/>
      <c r="E16" s="24" t="s">
        <v>30</v>
      </c>
      <c r="F16" s="30"/>
      <c r="G16" s="31"/>
      <c r="H16" s="31"/>
      <c r="I16" s="31"/>
      <c r="J16" s="32"/>
      <c r="K16" s="122"/>
      <c r="L16" s="90"/>
      <c r="M16" s="123"/>
      <c r="N16"/>
      <c r="O16" s="2"/>
      <c r="P16" s="2"/>
      <c r="Q16" s="3"/>
      <c r="R16" s="3"/>
      <c r="S16"/>
      <c r="T16"/>
      <c r="U16"/>
      <c r="V16" t="str">
        <f t="shared" si="11"/>
        <v>80</v>
      </c>
      <c r="W16">
        <v>8</v>
      </c>
      <c r="X16">
        <v>0</v>
      </c>
      <c r="Y16">
        <v>180</v>
      </c>
      <c r="Z16">
        <v>180</v>
      </c>
      <c r="AA16"/>
      <c r="AB16" t="str">
        <f t="shared" si="6"/>
        <v>73</v>
      </c>
      <c r="AC16">
        <v>7</v>
      </c>
      <c r="AD16">
        <v>3</v>
      </c>
      <c r="AE16">
        <v>85</v>
      </c>
      <c r="AF16">
        <v>80</v>
      </c>
      <c r="AG16"/>
      <c r="AH16" t="str">
        <f t="shared" si="7"/>
        <v>85</v>
      </c>
      <c r="AI16">
        <v>8</v>
      </c>
      <c r="AJ16">
        <v>5</v>
      </c>
      <c r="AK16">
        <v>145</v>
      </c>
      <c r="AL16">
        <v>90</v>
      </c>
      <c r="AM16"/>
      <c r="AN16" t="str">
        <f t="shared" si="8"/>
        <v>2LightMediumHeavy60</v>
      </c>
      <c r="AO16">
        <v>2</v>
      </c>
      <c r="AP16" t="s">
        <v>20</v>
      </c>
      <c r="AQ16" t="s">
        <v>36</v>
      </c>
      <c r="AR16" t="s">
        <v>37</v>
      </c>
      <c r="AS16">
        <v>60</v>
      </c>
      <c r="AT16">
        <v>22</v>
      </c>
      <c r="AU16">
        <v>15</v>
      </c>
      <c r="AV16"/>
      <c r="AW16" t="str">
        <f t="shared" si="9"/>
        <v>2LightLightMediumHeavy60</v>
      </c>
      <c r="AX16">
        <v>2</v>
      </c>
      <c r="AY16" t="s">
        <v>20</v>
      </c>
      <c r="AZ16" t="s">
        <v>20</v>
      </c>
      <c r="BA16" t="s">
        <v>36</v>
      </c>
      <c r="BB16" t="s">
        <v>37</v>
      </c>
      <c r="BC16">
        <v>60</v>
      </c>
      <c r="BD16">
        <v>28</v>
      </c>
      <c r="BE16">
        <v>25</v>
      </c>
      <c r="BF16">
        <v>14</v>
      </c>
      <c r="BG16"/>
      <c r="BH16" t="str">
        <f t="shared" si="10"/>
        <v>2LightMediumHeavy60</v>
      </c>
      <c r="BI16">
        <v>2</v>
      </c>
      <c r="BJ16" t="s">
        <v>20</v>
      </c>
      <c r="BK16" t="s">
        <v>36</v>
      </c>
      <c r="BL16" t="s">
        <v>37</v>
      </c>
      <c r="BM16">
        <v>60</v>
      </c>
      <c r="BN16" s="1" t="s">
        <v>69</v>
      </c>
      <c r="BO16">
        <v>27</v>
      </c>
      <c r="BP16">
        <v>13</v>
      </c>
      <c r="BQ16"/>
      <c r="BR16"/>
      <c r="BS16">
        <v>3</v>
      </c>
      <c r="BT16" t="s">
        <v>20</v>
      </c>
      <c r="BU16" t="s">
        <v>36</v>
      </c>
      <c r="BV16" t="s">
        <v>37</v>
      </c>
      <c r="BW16">
        <v>60</v>
      </c>
      <c r="BX16">
        <v>23</v>
      </c>
      <c r="BY16">
        <v>16</v>
      </c>
      <c r="BZ16"/>
      <c r="CA16"/>
      <c r="CB16">
        <v>3</v>
      </c>
      <c r="CC16" t="s">
        <v>20</v>
      </c>
      <c r="CD16" t="s">
        <v>20</v>
      </c>
      <c r="CE16" t="s">
        <v>36</v>
      </c>
      <c r="CF16" t="s">
        <v>37</v>
      </c>
      <c r="CG16">
        <v>60</v>
      </c>
      <c r="CH16">
        <v>31</v>
      </c>
      <c r="CI16">
        <v>27</v>
      </c>
      <c r="CJ16">
        <v>14</v>
      </c>
      <c r="CK16"/>
      <c r="CL16"/>
      <c r="CM16">
        <v>3</v>
      </c>
      <c r="CN16" t="s">
        <v>20</v>
      </c>
      <c r="CO16" t="s">
        <v>36</v>
      </c>
      <c r="CP16" t="s">
        <v>37</v>
      </c>
      <c r="CQ16">
        <v>45</v>
      </c>
      <c r="CR16" s="1" t="s">
        <v>69</v>
      </c>
      <c r="CS16">
        <v>27</v>
      </c>
      <c r="CT16">
        <v>12</v>
      </c>
      <c r="CU16"/>
      <c r="CV16"/>
      <c r="CW16"/>
      <c r="CX16"/>
      <c r="CY16"/>
    </row>
    <row r="17" spans="1:103" ht="15" customHeight="1" x14ac:dyDescent="0.25">
      <c r="A17" s="117" t="str">
        <f>IF(AE60=1,"Warning: Check Building Height"," ")</f>
        <v>Warning: Check Building Height</v>
      </c>
      <c r="B17" s="117"/>
      <c r="C17" s="117"/>
      <c r="D17" s="117"/>
      <c r="E17" s="117"/>
      <c r="F17" s="117"/>
      <c r="G17" s="117"/>
      <c r="H17" s="117"/>
      <c r="I17" s="117"/>
      <c r="J17" s="118"/>
      <c r="K17" s="124"/>
      <c r="L17" s="125"/>
      <c r="M17" s="126"/>
      <c r="N17"/>
      <c r="O17" s="2"/>
      <c r="P17" s="2"/>
      <c r="Q17" s="3"/>
      <c r="R17" s="3"/>
      <c r="S17"/>
      <c r="T17" cm="1">
        <f t="array" ref="T17">_xlfn.IFS(I8&lt;=25,25,AND(I8&gt;25,I8&lt;=45),45,AND(I8&gt;45,I8&lt;=60),60)</f>
        <v>45</v>
      </c>
      <c r="U17"/>
      <c r="V17" t="str">
        <f t="shared" si="11"/>
        <v>81</v>
      </c>
      <c r="W17">
        <v>8</v>
      </c>
      <c r="X17">
        <v>1</v>
      </c>
      <c r="Y17">
        <v>150</v>
      </c>
      <c r="Z17">
        <v>160</v>
      </c>
      <c r="AA17"/>
      <c r="AB17" t="str">
        <f t="shared" si="6"/>
        <v>74</v>
      </c>
      <c r="AC17">
        <v>7</v>
      </c>
      <c r="AD17">
        <v>4</v>
      </c>
      <c r="AE17">
        <v>105</v>
      </c>
      <c r="AF17">
        <v>80</v>
      </c>
      <c r="AG17"/>
      <c r="AH17" t="str">
        <f t="shared" si="7"/>
        <v>90</v>
      </c>
      <c r="AI17">
        <v>9</v>
      </c>
      <c r="AJ17">
        <v>0</v>
      </c>
      <c r="AK17">
        <v>165</v>
      </c>
      <c r="AL17">
        <v>165</v>
      </c>
      <c r="AM17"/>
      <c r="AN17" t="str">
        <f t="shared" si="8"/>
        <v>2LightHeavyHeavy25</v>
      </c>
      <c r="AO17">
        <v>2</v>
      </c>
      <c r="AP17" t="s">
        <v>20</v>
      </c>
      <c r="AQ17" t="s">
        <v>37</v>
      </c>
      <c r="AR17" t="s">
        <v>37</v>
      </c>
      <c r="AS17">
        <v>25</v>
      </c>
      <c r="AT17">
        <v>27</v>
      </c>
      <c r="AU17">
        <v>18</v>
      </c>
      <c r="AV17"/>
      <c r="AW17" t="str">
        <f t="shared" si="9"/>
        <v>2LightLightHeavyHeavy25</v>
      </c>
      <c r="AX17">
        <v>2</v>
      </c>
      <c r="AY17" t="s">
        <v>20</v>
      </c>
      <c r="AZ17" t="s">
        <v>20</v>
      </c>
      <c r="BA17" t="s">
        <v>37</v>
      </c>
      <c r="BB17" t="s">
        <v>37</v>
      </c>
      <c r="BC17">
        <v>25</v>
      </c>
      <c r="BD17">
        <v>34</v>
      </c>
      <c r="BE17">
        <v>30</v>
      </c>
      <c r="BF17">
        <v>12</v>
      </c>
      <c r="BG17"/>
      <c r="BH17" t="str">
        <f t="shared" si="10"/>
        <v>2LightHeavyHeavy25</v>
      </c>
      <c r="BI17">
        <v>2</v>
      </c>
      <c r="BJ17" t="s">
        <v>20</v>
      </c>
      <c r="BK17" t="s">
        <v>37</v>
      </c>
      <c r="BL17" t="s">
        <v>37</v>
      </c>
      <c r="BM17">
        <v>25</v>
      </c>
      <c r="BN17">
        <v>9</v>
      </c>
      <c r="BO17">
        <v>33</v>
      </c>
      <c r="BP17">
        <v>15</v>
      </c>
      <c r="BQ17"/>
      <c r="BR17"/>
      <c r="BS17">
        <v>3</v>
      </c>
      <c r="BT17" t="s">
        <v>20</v>
      </c>
      <c r="BU17" t="s">
        <v>37</v>
      </c>
      <c r="BV17" t="s">
        <v>37</v>
      </c>
      <c r="BW17">
        <v>25</v>
      </c>
      <c r="BX17">
        <v>29</v>
      </c>
      <c r="BY17">
        <v>18</v>
      </c>
      <c r="BZ17"/>
      <c r="CA17"/>
      <c r="CB17">
        <v>3</v>
      </c>
      <c r="CC17" t="s">
        <v>20</v>
      </c>
      <c r="CD17" t="s">
        <v>20</v>
      </c>
      <c r="CE17" t="s">
        <v>37</v>
      </c>
      <c r="CF17" t="s">
        <v>37</v>
      </c>
      <c r="CG17">
        <v>25</v>
      </c>
      <c r="CH17">
        <v>37</v>
      </c>
      <c r="CI17">
        <v>33</v>
      </c>
      <c r="CJ17">
        <v>13</v>
      </c>
      <c r="CK17"/>
      <c r="CL17"/>
      <c r="CM17">
        <v>3</v>
      </c>
      <c r="CN17" t="s">
        <v>20</v>
      </c>
      <c r="CO17" t="s">
        <v>36</v>
      </c>
      <c r="CP17" t="s">
        <v>37</v>
      </c>
      <c r="CQ17">
        <v>60</v>
      </c>
      <c r="CR17" s="1" t="s">
        <v>69</v>
      </c>
      <c r="CS17">
        <v>28</v>
      </c>
      <c r="CT17">
        <v>14</v>
      </c>
      <c r="CU17"/>
      <c r="CV17"/>
      <c r="CW17"/>
      <c r="CX17"/>
      <c r="CY17"/>
    </row>
    <row r="18" spans="1:103" ht="15" customHeight="1" x14ac:dyDescent="0.25">
      <c r="A18" s="89"/>
      <c r="B18" s="89"/>
      <c r="C18" s="89"/>
      <c r="D18" s="89"/>
      <c r="E18" s="89"/>
      <c r="F18" s="89"/>
      <c r="G18" s="89"/>
      <c r="H18" s="89"/>
      <c r="I18" s="89"/>
      <c r="J18" s="89"/>
      <c r="K18" s="89"/>
      <c r="L18" s="89"/>
      <c r="M18" s="89"/>
      <c r="N18"/>
      <c r="O18" s="88"/>
      <c r="P18" s="88"/>
      <c r="Q18" s="94"/>
      <c r="R18" s="94"/>
      <c r="S18" t="s">
        <v>146</v>
      </c>
      <c r="T18" t="str">
        <f>ROUND(C8,0)&amp;I7&amp;I10&amp;I9&amp;T17</f>
        <v>2LightLightMedium45</v>
      </c>
      <c r="U18"/>
      <c r="V18" t="str">
        <f t="shared" si="11"/>
        <v>82</v>
      </c>
      <c r="W18">
        <v>8</v>
      </c>
      <c r="X18">
        <v>2</v>
      </c>
      <c r="Y18">
        <v>145</v>
      </c>
      <c r="Z18">
        <v>150</v>
      </c>
      <c r="AA18"/>
      <c r="AB18" t="str">
        <f t="shared" si="6"/>
        <v>75</v>
      </c>
      <c r="AC18">
        <v>7</v>
      </c>
      <c r="AD18">
        <v>5</v>
      </c>
      <c r="AE18">
        <v>135</v>
      </c>
      <c r="AF18">
        <v>80</v>
      </c>
      <c r="AG18"/>
      <c r="AH18" t="str">
        <f t="shared" si="7"/>
        <v>91</v>
      </c>
      <c r="AI18">
        <v>9</v>
      </c>
      <c r="AJ18">
        <v>1</v>
      </c>
      <c r="AK18">
        <v>150</v>
      </c>
      <c r="AL18">
        <v>155</v>
      </c>
      <c r="AM18"/>
      <c r="AN18" t="str">
        <f t="shared" si="8"/>
        <v>2LightHeavyHeavy45</v>
      </c>
      <c r="AO18">
        <v>2</v>
      </c>
      <c r="AP18" t="s">
        <v>20</v>
      </c>
      <c r="AQ18" t="s">
        <v>37</v>
      </c>
      <c r="AR18" t="s">
        <v>37</v>
      </c>
      <c r="AS18">
        <v>45</v>
      </c>
      <c r="AT18">
        <v>28</v>
      </c>
      <c r="AU18">
        <v>19</v>
      </c>
      <c r="AV18"/>
      <c r="AW18" t="str">
        <f t="shared" si="9"/>
        <v>2LightLightHeavyHeavy45</v>
      </c>
      <c r="AX18">
        <v>2</v>
      </c>
      <c r="AY18" t="s">
        <v>20</v>
      </c>
      <c r="AZ18" t="s">
        <v>20</v>
      </c>
      <c r="BA18" t="s">
        <v>37</v>
      </c>
      <c r="BB18" t="s">
        <v>37</v>
      </c>
      <c r="BC18">
        <v>45</v>
      </c>
      <c r="BD18">
        <v>35</v>
      </c>
      <c r="BE18">
        <v>31</v>
      </c>
      <c r="BF18">
        <v>13</v>
      </c>
      <c r="BG18"/>
      <c r="BH18" t="str">
        <f t="shared" si="10"/>
        <v>2LightHeavyHeavy45</v>
      </c>
      <c r="BI18">
        <v>2</v>
      </c>
      <c r="BJ18" t="s">
        <v>20</v>
      </c>
      <c r="BK18" t="s">
        <v>37</v>
      </c>
      <c r="BL18" t="s">
        <v>37</v>
      </c>
      <c r="BM18">
        <v>45</v>
      </c>
      <c r="BN18">
        <v>9</v>
      </c>
      <c r="BO18">
        <v>33</v>
      </c>
      <c r="BP18">
        <v>16</v>
      </c>
      <c r="BQ18"/>
      <c r="BR18"/>
      <c r="BS18">
        <v>3</v>
      </c>
      <c r="BT18" t="s">
        <v>20</v>
      </c>
      <c r="BU18" t="s">
        <v>37</v>
      </c>
      <c r="BV18" t="s">
        <v>37</v>
      </c>
      <c r="BW18">
        <v>45</v>
      </c>
      <c r="BX18">
        <v>29</v>
      </c>
      <c r="BY18">
        <v>19</v>
      </c>
      <c r="BZ18"/>
      <c r="CA18"/>
      <c r="CB18">
        <v>3</v>
      </c>
      <c r="CC18" t="s">
        <v>20</v>
      </c>
      <c r="CD18" t="s">
        <v>20</v>
      </c>
      <c r="CE18" t="s">
        <v>37</v>
      </c>
      <c r="CF18" t="s">
        <v>37</v>
      </c>
      <c r="CG18">
        <v>45</v>
      </c>
      <c r="CH18">
        <v>38</v>
      </c>
      <c r="CI18">
        <v>33</v>
      </c>
      <c r="CJ18">
        <v>14</v>
      </c>
      <c r="CK18"/>
      <c r="CL18"/>
      <c r="CM18">
        <v>3</v>
      </c>
      <c r="CN18" t="s">
        <v>20</v>
      </c>
      <c r="CO18" t="s">
        <v>37</v>
      </c>
      <c r="CP18" t="s">
        <v>37</v>
      </c>
      <c r="CQ18">
        <v>25</v>
      </c>
      <c r="CR18">
        <v>9</v>
      </c>
      <c r="CS18">
        <v>34</v>
      </c>
      <c r="CT18">
        <v>15</v>
      </c>
      <c r="CU18"/>
      <c r="CV18"/>
      <c r="CW18"/>
      <c r="CX18"/>
      <c r="CY18"/>
    </row>
    <row r="19" spans="1:103" ht="15" customHeight="1" x14ac:dyDescent="0.25">
      <c r="A19" s="102" t="s">
        <v>130</v>
      </c>
      <c r="B19" s="102"/>
      <c r="C19" s="102"/>
      <c r="D19" s="102"/>
      <c r="E19" s="102"/>
      <c r="F19" s="102"/>
      <c r="G19" s="102"/>
      <c r="H19" s="102"/>
      <c r="I19" s="102"/>
      <c r="J19" s="102"/>
      <c r="K19" s="102"/>
      <c r="L19" s="102"/>
      <c r="M19" s="102"/>
      <c r="N19"/>
      <c r="O19"/>
      <c r="P19"/>
      <c r="Q19"/>
      <c r="R19"/>
      <c r="S19" t="s">
        <v>142</v>
      </c>
      <c r="T19" t="str">
        <f>ROUND(C8,0)&amp;I7&amp;I12&amp;I11&amp;I9&amp;T17</f>
        <v>2LightLightLightMedium45</v>
      </c>
      <c r="U19"/>
      <c r="V19" t="str">
        <f t="shared" si="11"/>
        <v>83</v>
      </c>
      <c r="W19">
        <v>8</v>
      </c>
      <c r="X19">
        <v>3</v>
      </c>
      <c r="Y19">
        <v>140</v>
      </c>
      <c r="Z19">
        <v>135</v>
      </c>
      <c r="AA19"/>
      <c r="AB19" t="str">
        <f t="shared" si="6"/>
        <v>83</v>
      </c>
      <c r="AC19">
        <v>8</v>
      </c>
      <c r="AD19">
        <v>3</v>
      </c>
      <c r="AE19">
        <v>95</v>
      </c>
      <c r="AF19">
        <v>90</v>
      </c>
      <c r="AG19"/>
      <c r="AH19" t="str">
        <f t="shared" si="7"/>
        <v>92</v>
      </c>
      <c r="AI19">
        <v>9</v>
      </c>
      <c r="AJ19">
        <v>2</v>
      </c>
      <c r="AK19">
        <v>140</v>
      </c>
      <c r="AL19">
        <v>145</v>
      </c>
      <c r="AM19"/>
      <c r="AN19" t="str">
        <f t="shared" si="8"/>
        <v>2LightHeavyHeavy60</v>
      </c>
      <c r="AO19">
        <v>2</v>
      </c>
      <c r="AP19" t="s">
        <v>20</v>
      </c>
      <c r="AQ19" t="s">
        <v>37</v>
      </c>
      <c r="AR19" t="s">
        <v>37</v>
      </c>
      <c r="AS19">
        <v>60</v>
      </c>
      <c r="AT19">
        <v>29</v>
      </c>
      <c r="AU19">
        <v>20</v>
      </c>
      <c r="AV19"/>
      <c r="AW19" t="str">
        <f t="shared" si="9"/>
        <v>2LightLightHeavyHeavy60</v>
      </c>
      <c r="AX19">
        <v>2</v>
      </c>
      <c r="AY19" t="s">
        <v>20</v>
      </c>
      <c r="AZ19" t="s">
        <v>20</v>
      </c>
      <c r="BA19" t="s">
        <v>37</v>
      </c>
      <c r="BB19" t="s">
        <v>37</v>
      </c>
      <c r="BC19">
        <v>60</v>
      </c>
      <c r="BD19">
        <v>36</v>
      </c>
      <c r="BE19">
        <v>32</v>
      </c>
      <c r="BF19">
        <v>15</v>
      </c>
      <c r="BG19"/>
      <c r="BH19" t="str">
        <f t="shared" si="10"/>
        <v>2LightHeavyHeavy60</v>
      </c>
      <c r="BI19">
        <v>2</v>
      </c>
      <c r="BJ19" t="s">
        <v>20</v>
      </c>
      <c r="BK19" t="s">
        <v>37</v>
      </c>
      <c r="BL19" t="s">
        <v>37</v>
      </c>
      <c r="BM19">
        <v>60</v>
      </c>
      <c r="BN19">
        <v>11</v>
      </c>
      <c r="BO19">
        <v>34</v>
      </c>
      <c r="BP19">
        <v>17</v>
      </c>
      <c r="BQ19"/>
      <c r="BR19"/>
      <c r="BS19">
        <v>3</v>
      </c>
      <c r="BT19" t="s">
        <v>20</v>
      </c>
      <c r="BU19" t="s">
        <v>37</v>
      </c>
      <c r="BV19" t="s">
        <v>37</v>
      </c>
      <c r="BW19">
        <v>60</v>
      </c>
      <c r="BX19">
        <v>30</v>
      </c>
      <c r="BY19">
        <v>20</v>
      </c>
      <c r="BZ19"/>
      <c r="CA19"/>
      <c r="CB19">
        <v>3</v>
      </c>
      <c r="CC19" t="s">
        <v>20</v>
      </c>
      <c r="CD19" t="s">
        <v>20</v>
      </c>
      <c r="CE19" t="s">
        <v>37</v>
      </c>
      <c r="CF19" t="s">
        <v>37</v>
      </c>
      <c r="CG19">
        <v>60</v>
      </c>
      <c r="CH19">
        <v>39</v>
      </c>
      <c r="CI19">
        <v>35</v>
      </c>
      <c r="CJ19">
        <v>15</v>
      </c>
      <c r="CK19"/>
      <c r="CL19"/>
      <c r="CM19">
        <v>3</v>
      </c>
      <c r="CN19" t="s">
        <v>20</v>
      </c>
      <c r="CO19" t="s">
        <v>37</v>
      </c>
      <c r="CP19" t="s">
        <v>37</v>
      </c>
      <c r="CQ19">
        <v>45</v>
      </c>
      <c r="CR19">
        <v>9</v>
      </c>
      <c r="CS19">
        <v>35</v>
      </c>
      <c r="CT19">
        <v>16</v>
      </c>
      <c r="CU19"/>
      <c r="CV19"/>
      <c r="CW19"/>
      <c r="CX19"/>
      <c r="CY19"/>
    </row>
    <row r="20" spans="1:103" ht="15" customHeight="1" x14ac:dyDescent="0.25">
      <c r="A20" s="113" t="s">
        <v>95</v>
      </c>
      <c r="B20" s="113"/>
      <c r="C20" s="114" t="s">
        <v>71</v>
      </c>
      <c r="D20" s="114"/>
      <c r="E20" s="90"/>
      <c r="F20" s="90"/>
      <c r="G20" s="113" t="s">
        <v>8</v>
      </c>
      <c r="H20" s="113"/>
      <c r="I20" s="113"/>
      <c r="J20" s="113"/>
      <c r="K20" s="114">
        <v>3</v>
      </c>
      <c r="L20" s="114"/>
      <c r="M20" s="114"/>
      <c r="N20"/>
      <c r="O20"/>
      <c r="P20"/>
      <c r="Q20"/>
      <c r="R20"/>
      <c r="S20" t="s">
        <v>70</v>
      </c>
      <c r="T20" t="str">
        <f>ROUND(C8,0)&amp;I7&amp;I10&amp;I10&amp;T17</f>
        <v>2LightLightLight45</v>
      </c>
      <c r="U20"/>
      <c r="V20" t="str">
        <f t="shared" si="11"/>
        <v>84</v>
      </c>
      <c r="W20">
        <v>8</v>
      </c>
      <c r="X20">
        <v>4</v>
      </c>
      <c r="Y20">
        <v>145</v>
      </c>
      <c r="Z20">
        <v>125</v>
      </c>
      <c r="AA20"/>
      <c r="AB20" t="str">
        <f t="shared" si="6"/>
        <v>84</v>
      </c>
      <c r="AC20">
        <v>8</v>
      </c>
      <c r="AD20">
        <v>4</v>
      </c>
      <c r="AE20">
        <v>115</v>
      </c>
      <c r="AF20">
        <v>90</v>
      </c>
      <c r="AG20"/>
      <c r="AH20" t="str">
        <f t="shared" si="7"/>
        <v>93</v>
      </c>
      <c r="AI20">
        <v>9</v>
      </c>
      <c r="AJ20">
        <v>3</v>
      </c>
      <c r="AK20">
        <v>140</v>
      </c>
      <c r="AL20">
        <v>135</v>
      </c>
      <c r="AM20"/>
      <c r="AN20" t="str">
        <f t="shared" si="8"/>
        <v>2HeavyLightLight25</v>
      </c>
      <c r="AO20">
        <v>2</v>
      </c>
      <c r="AP20" t="s">
        <v>37</v>
      </c>
      <c r="AQ20" t="s">
        <v>20</v>
      </c>
      <c r="AR20" t="s">
        <v>20</v>
      </c>
      <c r="AS20">
        <v>25</v>
      </c>
      <c r="AT20">
        <v>19</v>
      </c>
      <c r="AU20">
        <v>15</v>
      </c>
      <c r="AV20"/>
      <c r="AW20" t="str">
        <f t="shared" si="9"/>
        <v>2LightMediumMediumMedium25</v>
      </c>
      <c r="AX20">
        <v>2</v>
      </c>
      <c r="AY20" t="s">
        <v>20</v>
      </c>
      <c r="AZ20" t="s">
        <v>36</v>
      </c>
      <c r="BA20" t="s">
        <v>36</v>
      </c>
      <c r="BB20" t="s">
        <v>36</v>
      </c>
      <c r="BC20">
        <v>25</v>
      </c>
      <c r="BD20">
        <v>30</v>
      </c>
      <c r="BE20">
        <v>26</v>
      </c>
      <c r="BF20">
        <v>13</v>
      </c>
      <c r="BG20"/>
      <c r="BH20" t="str">
        <f t="shared" si="10"/>
        <v>2HeavyLightLight25</v>
      </c>
      <c r="BI20">
        <v>2</v>
      </c>
      <c r="BJ20" t="s">
        <v>37</v>
      </c>
      <c r="BK20" t="s">
        <v>20</v>
      </c>
      <c r="BL20" t="s">
        <v>20</v>
      </c>
      <c r="BM20">
        <v>25</v>
      </c>
      <c r="BN20">
        <v>10</v>
      </c>
      <c r="BO20">
        <v>19</v>
      </c>
      <c r="BP20">
        <v>13</v>
      </c>
      <c r="BQ20"/>
      <c r="BR20"/>
      <c r="BS20">
        <v>3</v>
      </c>
      <c r="BT20" t="s">
        <v>37</v>
      </c>
      <c r="BU20" t="s">
        <v>20</v>
      </c>
      <c r="BV20" t="s">
        <v>20</v>
      </c>
      <c r="BW20">
        <v>25</v>
      </c>
      <c r="BX20">
        <v>21</v>
      </c>
      <c r="BY20">
        <v>16</v>
      </c>
      <c r="BZ20"/>
      <c r="CA20"/>
      <c r="CB20">
        <v>3</v>
      </c>
      <c r="CC20" t="s">
        <v>20</v>
      </c>
      <c r="CD20" t="s">
        <v>36</v>
      </c>
      <c r="CE20" t="s">
        <v>36</v>
      </c>
      <c r="CF20" t="s">
        <v>36</v>
      </c>
      <c r="CG20">
        <v>25</v>
      </c>
      <c r="CH20">
        <v>33</v>
      </c>
      <c r="CI20">
        <v>29</v>
      </c>
      <c r="CJ20">
        <v>13</v>
      </c>
      <c r="CK20"/>
      <c r="CL20"/>
      <c r="CM20">
        <v>3</v>
      </c>
      <c r="CN20" t="s">
        <v>20</v>
      </c>
      <c r="CO20" t="s">
        <v>37</v>
      </c>
      <c r="CP20" t="s">
        <v>37</v>
      </c>
      <c r="CQ20">
        <v>60</v>
      </c>
      <c r="CR20">
        <v>11</v>
      </c>
      <c r="CS20">
        <v>36</v>
      </c>
      <c r="CT20">
        <v>17</v>
      </c>
      <c r="CU20"/>
      <c r="CV20"/>
      <c r="CW20"/>
      <c r="CX20"/>
      <c r="CY20"/>
    </row>
    <row r="21" spans="1:103" ht="15" customHeight="1" x14ac:dyDescent="0.25">
      <c r="A21" s="59" t="s">
        <v>96</v>
      </c>
      <c r="B21" s="59"/>
      <c r="C21" s="115">
        <f>VLOOKUP(Z46,Z48:AA52,2,0)</f>
        <v>1</v>
      </c>
      <c r="D21" s="115"/>
      <c r="E21" s="90"/>
      <c r="F21" s="90"/>
      <c r="G21" s="59" t="s">
        <v>92</v>
      </c>
      <c r="H21" s="59"/>
      <c r="I21" s="59"/>
      <c r="J21" s="59"/>
      <c r="K21" s="73" t="s">
        <v>7</v>
      </c>
      <c r="L21" s="73"/>
      <c r="M21" s="73"/>
      <c r="N21"/>
      <c r="O21"/>
      <c r="P21"/>
      <c r="Q21"/>
      <c r="R21"/>
      <c r="S21" t="s">
        <v>147</v>
      </c>
      <c r="T21" t="str">
        <f>ROUND(C8,0)&amp;I7&amp;I12&amp;I11&amp;T17</f>
        <v>2LightLightLight45</v>
      </c>
      <c r="U21"/>
      <c r="V21" t="str">
        <f t="shared" si="11"/>
        <v>85</v>
      </c>
      <c r="W21">
        <v>8</v>
      </c>
      <c r="X21">
        <v>5</v>
      </c>
      <c r="Y21">
        <v>175</v>
      </c>
      <c r="Z21">
        <v>115</v>
      </c>
      <c r="AA21"/>
      <c r="AB21" t="str">
        <f t="shared" si="6"/>
        <v>85</v>
      </c>
      <c r="AC21">
        <v>8</v>
      </c>
      <c r="AD21">
        <v>5</v>
      </c>
      <c r="AE21">
        <v>145</v>
      </c>
      <c r="AF21">
        <v>90</v>
      </c>
      <c r="AG21"/>
      <c r="AH21" t="str">
        <f t="shared" si="7"/>
        <v>94</v>
      </c>
      <c r="AI21">
        <v>9</v>
      </c>
      <c r="AJ21">
        <v>4</v>
      </c>
      <c r="AK21">
        <v>150</v>
      </c>
      <c r="AL21">
        <v>120</v>
      </c>
      <c r="AM21"/>
      <c r="AN21" t="str">
        <f t="shared" si="8"/>
        <v>2HeavyLightLight45</v>
      </c>
      <c r="AO21">
        <v>2</v>
      </c>
      <c r="AP21" t="s">
        <v>37</v>
      </c>
      <c r="AQ21" t="s">
        <v>20</v>
      </c>
      <c r="AR21" t="s">
        <v>20</v>
      </c>
      <c r="AS21">
        <v>45</v>
      </c>
      <c r="AT21">
        <v>21</v>
      </c>
      <c r="AU21">
        <v>17</v>
      </c>
      <c r="AV21"/>
      <c r="AW21" t="str">
        <f t="shared" si="9"/>
        <v>2LightMediumMediumMedium45</v>
      </c>
      <c r="AX21">
        <v>2</v>
      </c>
      <c r="AY21" t="s">
        <v>20</v>
      </c>
      <c r="AZ21" t="s">
        <v>36</v>
      </c>
      <c r="BA21" t="s">
        <v>36</v>
      </c>
      <c r="BB21" t="s">
        <v>36</v>
      </c>
      <c r="BC21">
        <v>45</v>
      </c>
      <c r="BD21">
        <v>30</v>
      </c>
      <c r="BE21">
        <v>17</v>
      </c>
      <c r="BF21">
        <v>14</v>
      </c>
      <c r="BG21"/>
      <c r="BH21" t="str">
        <f t="shared" si="10"/>
        <v>2HeavyLightLight45</v>
      </c>
      <c r="BI21">
        <v>2</v>
      </c>
      <c r="BJ21" t="s">
        <v>37</v>
      </c>
      <c r="BK21" t="s">
        <v>20</v>
      </c>
      <c r="BL21" t="s">
        <v>20</v>
      </c>
      <c r="BM21">
        <v>45</v>
      </c>
      <c r="BN21">
        <v>11</v>
      </c>
      <c r="BO21">
        <v>21</v>
      </c>
      <c r="BP21">
        <v>15</v>
      </c>
      <c r="BQ21"/>
      <c r="BR21"/>
      <c r="BS21">
        <v>3</v>
      </c>
      <c r="BT21" t="s">
        <v>37</v>
      </c>
      <c r="BU21" t="s">
        <v>20</v>
      </c>
      <c r="BV21" t="s">
        <v>20</v>
      </c>
      <c r="BW21">
        <v>45</v>
      </c>
      <c r="BX21">
        <v>23</v>
      </c>
      <c r="BY21">
        <v>18</v>
      </c>
      <c r="BZ21"/>
      <c r="CA21"/>
      <c r="CB21">
        <v>3</v>
      </c>
      <c r="CC21" t="s">
        <v>20</v>
      </c>
      <c r="CD21" t="s">
        <v>36</v>
      </c>
      <c r="CE21" t="s">
        <v>36</v>
      </c>
      <c r="CF21" t="s">
        <v>36</v>
      </c>
      <c r="CG21">
        <v>45</v>
      </c>
      <c r="CH21">
        <v>33</v>
      </c>
      <c r="CI21">
        <v>29</v>
      </c>
      <c r="CJ21">
        <v>14</v>
      </c>
      <c r="CK21"/>
      <c r="CL21"/>
      <c r="CM21">
        <v>3</v>
      </c>
      <c r="CN21" t="s">
        <v>37</v>
      </c>
      <c r="CO21" t="s">
        <v>20</v>
      </c>
      <c r="CP21" t="s">
        <v>20</v>
      </c>
      <c r="CQ21">
        <v>25</v>
      </c>
      <c r="CR21">
        <v>10</v>
      </c>
      <c r="CS21">
        <v>21</v>
      </c>
      <c r="CT21">
        <v>14</v>
      </c>
      <c r="CU21"/>
      <c r="CV21"/>
      <c r="CW21"/>
      <c r="CX21"/>
      <c r="CY21"/>
    </row>
    <row r="22" spans="1:103" ht="15" customHeight="1" x14ac:dyDescent="0.25">
      <c r="A22" s="59" t="s">
        <v>97</v>
      </c>
      <c r="B22" s="59"/>
      <c r="C22" s="73" t="s">
        <v>13</v>
      </c>
      <c r="D22" s="73"/>
      <c r="E22" s="90"/>
      <c r="F22" s="90"/>
      <c r="G22" s="59" t="s">
        <v>123</v>
      </c>
      <c r="H22" s="59"/>
      <c r="I22" s="59"/>
      <c r="J22" s="59"/>
      <c r="K22" s="91" t="s">
        <v>126</v>
      </c>
      <c r="L22" s="91"/>
      <c r="M22" s="91"/>
      <c r="N22"/>
      <c r="O22"/>
      <c r="P22"/>
      <c r="Q22"/>
      <c r="R22"/>
      <c r="S22"/>
      <c r="T22"/>
      <c r="U22"/>
      <c r="V22" t="str">
        <f t="shared" ref="V22:V36" si="12">W22&amp;X22</f>
        <v>90</v>
      </c>
      <c r="W22">
        <v>9</v>
      </c>
      <c r="X22">
        <v>0</v>
      </c>
      <c r="Y22">
        <v>200</v>
      </c>
      <c r="Z22">
        <v>200</v>
      </c>
      <c r="AA22"/>
      <c r="AB22" t="str">
        <f t="shared" ref="AB22:AB30" si="13">AC22&amp;AD22</f>
        <v>86</v>
      </c>
      <c r="AC22">
        <v>8</v>
      </c>
      <c r="AD22">
        <v>6</v>
      </c>
      <c r="AE22">
        <v>155</v>
      </c>
      <c r="AF22">
        <v>90</v>
      </c>
      <c r="AG22"/>
      <c r="AH22" t="str">
        <f t="shared" ref="AH22:AH31" si="14">AI22&amp;AJ22</f>
        <v>95</v>
      </c>
      <c r="AI22">
        <v>9</v>
      </c>
      <c r="AJ22">
        <v>5</v>
      </c>
      <c r="AK22">
        <v>165</v>
      </c>
      <c r="AL22">
        <v>110</v>
      </c>
      <c r="AM22"/>
      <c r="AN22" t="str">
        <f t="shared" ref="AN22:AN73" si="15">AO22&amp;AP22&amp;AQ22&amp;AR22&amp;AS22</f>
        <v>2HeavyLightLight60</v>
      </c>
      <c r="AO22">
        <v>2</v>
      </c>
      <c r="AP22" t="s">
        <v>37</v>
      </c>
      <c r="AQ22" t="s">
        <v>20</v>
      </c>
      <c r="AR22" t="s">
        <v>20</v>
      </c>
      <c r="AS22">
        <v>60</v>
      </c>
      <c r="AT22">
        <v>24</v>
      </c>
      <c r="AU22">
        <v>21</v>
      </c>
      <c r="AV22"/>
      <c r="AW22" t="str">
        <f t="shared" si="9"/>
        <v>2LightMediumMediumMedium60</v>
      </c>
      <c r="AX22">
        <v>2</v>
      </c>
      <c r="AY22" t="s">
        <v>20</v>
      </c>
      <c r="AZ22" t="s">
        <v>36</v>
      </c>
      <c r="BA22" t="s">
        <v>36</v>
      </c>
      <c r="BB22" t="s">
        <v>36</v>
      </c>
      <c r="BC22">
        <v>60</v>
      </c>
      <c r="BD22">
        <v>31</v>
      </c>
      <c r="BE22">
        <v>28</v>
      </c>
      <c r="BF22">
        <v>15</v>
      </c>
      <c r="BG22"/>
      <c r="BH22" t="str">
        <f t="shared" si="10"/>
        <v>2HeavyLightLight60</v>
      </c>
      <c r="BI22">
        <v>2</v>
      </c>
      <c r="BJ22" t="s">
        <v>37</v>
      </c>
      <c r="BK22" t="s">
        <v>20</v>
      </c>
      <c r="BL22" t="s">
        <v>20</v>
      </c>
      <c r="BM22">
        <v>60</v>
      </c>
      <c r="BN22">
        <v>15</v>
      </c>
      <c r="BO22">
        <v>24</v>
      </c>
      <c r="BP22">
        <v>19</v>
      </c>
      <c r="BQ22"/>
      <c r="BR22"/>
      <c r="BS22">
        <v>3</v>
      </c>
      <c r="BT22" t="s">
        <v>37</v>
      </c>
      <c r="BU22" t="s">
        <v>20</v>
      </c>
      <c r="BV22" t="s">
        <v>20</v>
      </c>
      <c r="BW22">
        <v>60</v>
      </c>
      <c r="BX22">
        <v>26</v>
      </c>
      <c r="BY22">
        <v>22</v>
      </c>
      <c r="BZ22"/>
      <c r="CA22"/>
      <c r="CB22">
        <v>3</v>
      </c>
      <c r="CC22" t="s">
        <v>20</v>
      </c>
      <c r="CD22" t="s">
        <v>36</v>
      </c>
      <c r="CE22" t="s">
        <v>36</v>
      </c>
      <c r="CF22" t="s">
        <v>36</v>
      </c>
      <c r="CG22">
        <v>60</v>
      </c>
      <c r="CH22">
        <v>34</v>
      </c>
      <c r="CI22">
        <v>31</v>
      </c>
      <c r="CJ22">
        <v>16</v>
      </c>
      <c r="CK22"/>
      <c r="CL22"/>
      <c r="CM22">
        <v>3</v>
      </c>
      <c r="CN22" t="s">
        <v>37</v>
      </c>
      <c r="CO22" t="s">
        <v>20</v>
      </c>
      <c r="CP22" t="s">
        <v>20</v>
      </c>
      <c r="CQ22">
        <v>45</v>
      </c>
      <c r="CR22">
        <v>11</v>
      </c>
      <c r="CS22">
        <v>23</v>
      </c>
      <c r="CT22">
        <v>16</v>
      </c>
      <c r="CU22"/>
      <c r="CV22"/>
      <c r="CW22"/>
      <c r="CX22"/>
      <c r="CY22"/>
    </row>
    <row r="23" spans="1:103" ht="15" customHeight="1" x14ac:dyDescent="0.25">
      <c r="A23" s="59" t="s">
        <v>98</v>
      </c>
      <c r="B23" s="59"/>
      <c r="C23" s="73" t="s">
        <v>27</v>
      </c>
      <c r="D23" s="73"/>
      <c r="E23" s="90"/>
      <c r="F23" s="90"/>
      <c r="G23" s="59" t="s">
        <v>99</v>
      </c>
      <c r="H23" s="59"/>
      <c r="I23" s="59"/>
      <c r="J23" s="59"/>
      <c r="K23" s="133">
        <f>VLOOKUP(U2,P50:Q69,2,FALSE)*AD46</f>
        <v>0.6</v>
      </c>
      <c r="L23" s="133"/>
      <c r="M23" s="133"/>
      <c r="N23"/>
      <c r="O23"/>
      <c r="P23"/>
      <c r="Q23"/>
      <c r="R23"/>
      <c r="S23"/>
      <c r="T23"/>
      <c r="U23"/>
      <c r="V23" t="str">
        <f t="shared" si="12"/>
        <v>91</v>
      </c>
      <c r="W23">
        <v>9</v>
      </c>
      <c r="X23">
        <v>1</v>
      </c>
      <c r="Y23">
        <v>175</v>
      </c>
      <c r="Z23">
        <v>180</v>
      </c>
      <c r="AA23"/>
      <c r="AB23" t="str">
        <f t="shared" si="13"/>
        <v>94</v>
      </c>
      <c r="AC23">
        <v>9</v>
      </c>
      <c r="AD23">
        <v>4</v>
      </c>
      <c r="AE23">
        <v>125</v>
      </c>
      <c r="AF23">
        <v>100</v>
      </c>
      <c r="AG23"/>
      <c r="AH23" t="str">
        <f t="shared" si="14"/>
        <v>96</v>
      </c>
      <c r="AI23">
        <v>9</v>
      </c>
      <c r="AJ23">
        <v>6</v>
      </c>
      <c r="AK23">
        <v>165</v>
      </c>
      <c r="AL23">
        <v>100</v>
      </c>
      <c r="AM23"/>
      <c r="AN23" t="str">
        <f t="shared" si="15"/>
        <v>2HeavyLightMedium25</v>
      </c>
      <c r="AO23">
        <v>2</v>
      </c>
      <c r="AP23" t="s">
        <v>37</v>
      </c>
      <c r="AQ23" t="s">
        <v>20</v>
      </c>
      <c r="AR23" t="s">
        <v>36</v>
      </c>
      <c r="AS23">
        <v>25</v>
      </c>
      <c r="AT23">
        <v>19</v>
      </c>
      <c r="AU23">
        <v>15</v>
      </c>
      <c r="AV23"/>
      <c r="AW23" t="str">
        <f t="shared" ref="AW23:AW58" si="16">AX23&amp;AY23&amp;AZ23&amp;BA23&amp;BB23&amp;BC23</f>
        <v>2LightMediumMediumHeavy25</v>
      </c>
      <c r="AX23">
        <v>2</v>
      </c>
      <c r="AY23" t="s">
        <v>20</v>
      </c>
      <c r="AZ23" t="s">
        <v>36</v>
      </c>
      <c r="BA23" t="s">
        <v>36</v>
      </c>
      <c r="BB23" t="s">
        <v>37</v>
      </c>
      <c r="BC23">
        <v>25</v>
      </c>
      <c r="BD23">
        <v>30</v>
      </c>
      <c r="BE23">
        <v>26</v>
      </c>
      <c r="BF23">
        <v>13</v>
      </c>
      <c r="BG23"/>
      <c r="BH23" t="str">
        <f t="shared" si="10"/>
        <v>2HeavyLightMedium25</v>
      </c>
      <c r="BI23">
        <v>2</v>
      </c>
      <c r="BJ23" t="s">
        <v>37</v>
      </c>
      <c r="BK23" t="s">
        <v>20</v>
      </c>
      <c r="BL23" t="s">
        <v>36</v>
      </c>
      <c r="BM23">
        <v>25</v>
      </c>
      <c r="BN23" s="1" t="s">
        <v>69</v>
      </c>
      <c r="BO23">
        <v>21</v>
      </c>
      <c r="BP23">
        <v>14</v>
      </c>
      <c r="BQ23"/>
      <c r="BR23"/>
      <c r="BS23">
        <v>3</v>
      </c>
      <c r="BT23" t="s">
        <v>37</v>
      </c>
      <c r="BU23" t="s">
        <v>20</v>
      </c>
      <c r="BV23" t="s">
        <v>36</v>
      </c>
      <c r="BW23">
        <v>25</v>
      </c>
      <c r="BX23">
        <v>21</v>
      </c>
      <c r="BY23">
        <v>16</v>
      </c>
      <c r="BZ23"/>
      <c r="CA23"/>
      <c r="CB23">
        <v>3</v>
      </c>
      <c r="CC23" t="s">
        <v>20</v>
      </c>
      <c r="CD23" t="s">
        <v>36</v>
      </c>
      <c r="CE23" t="s">
        <v>36</v>
      </c>
      <c r="CF23" t="s">
        <v>37</v>
      </c>
      <c r="CG23">
        <v>25</v>
      </c>
      <c r="CH23">
        <v>33</v>
      </c>
      <c r="CI23">
        <v>29</v>
      </c>
      <c r="CJ23">
        <v>13</v>
      </c>
      <c r="CK23"/>
      <c r="CL23"/>
      <c r="CM23">
        <v>3</v>
      </c>
      <c r="CN23" t="s">
        <v>37</v>
      </c>
      <c r="CO23" t="s">
        <v>20</v>
      </c>
      <c r="CP23" t="s">
        <v>20</v>
      </c>
      <c r="CQ23">
        <v>60</v>
      </c>
      <c r="CR23">
        <v>15</v>
      </c>
      <c r="CS23">
        <v>26</v>
      </c>
      <c r="CT23">
        <v>19</v>
      </c>
      <c r="CU23"/>
      <c r="CV23"/>
      <c r="CW23"/>
      <c r="CX23"/>
      <c r="CY23"/>
    </row>
    <row r="24" spans="1:103" ht="15" customHeight="1" x14ac:dyDescent="0.25">
      <c r="A24" s="59" t="s">
        <v>4</v>
      </c>
      <c r="B24" s="59"/>
      <c r="C24" s="73" t="s">
        <v>77</v>
      </c>
      <c r="D24" s="73"/>
      <c r="E24" s="90"/>
      <c r="F24" s="90"/>
      <c r="G24" s="61"/>
      <c r="H24" s="61"/>
      <c r="I24" s="61"/>
      <c r="J24" s="61"/>
      <c r="K24" s="61"/>
      <c r="L24" s="61"/>
      <c r="M24" s="64"/>
      <c r="N24"/>
      <c r="O24"/>
      <c r="P24"/>
      <c r="Q24"/>
      <c r="R24"/>
      <c r="S24">
        <f>IF(C20="NZS 3604:2011",1,0)</f>
        <v>0</v>
      </c>
      <c r="T24"/>
      <c r="U24"/>
      <c r="V24" t="str">
        <f t="shared" si="12"/>
        <v>92</v>
      </c>
      <c r="W24">
        <v>9</v>
      </c>
      <c r="X24">
        <v>2</v>
      </c>
      <c r="Y24">
        <v>165</v>
      </c>
      <c r="Z24">
        <v>170</v>
      </c>
      <c r="AA24"/>
      <c r="AB24" t="str">
        <f t="shared" si="13"/>
        <v>95</v>
      </c>
      <c r="AC24">
        <v>9</v>
      </c>
      <c r="AD24">
        <v>5</v>
      </c>
      <c r="AE24">
        <v>155</v>
      </c>
      <c r="AF24">
        <v>100</v>
      </c>
      <c r="AG24"/>
      <c r="AH24" t="str">
        <f t="shared" si="14"/>
        <v>100</v>
      </c>
      <c r="AI24">
        <v>10</v>
      </c>
      <c r="AJ24">
        <v>0</v>
      </c>
      <c r="AK24">
        <v>190</v>
      </c>
      <c r="AL24">
        <v>190</v>
      </c>
      <c r="AM24"/>
      <c r="AN24" t="str">
        <f t="shared" si="15"/>
        <v>2HeavyLightMedium45</v>
      </c>
      <c r="AO24">
        <v>2</v>
      </c>
      <c r="AP24" t="s">
        <v>37</v>
      </c>
      <c r="AQ24" t="s">
        <v>20</v>
      </c>
      <c r="AR24" t="s">
        <v>36</v>
      </c>
      <c r="AS24">
        <v>45</v>
      </c>
      <c r="AT24">
        <v>21</v>
      </c>
      <c r="AU24">
        <v>17</v>
      </c>
      <c r="AV24"/>
      <c r="AW24" t="str">
        <f t="shared" si="16"/>
        <v>2LightMediumMediumHeavy45</v>
      </c>
      <c r="AX24">
        <v>2</v>
      </c>
      <c r="AY24" t="s">
        <v>20</v>
      </c>
      <c r="AZ24" t="s">
        <v>36</v>
      </c>
      <c r="BA24" t="s">
        <v>36</v>
      </c>
      <c r="BB24" t="s">
        <v>37</v>
      </c>
      <c r="BC24">
        <v>45</v>
      </c>
      <c r="BD24">
        <v>30</v>
      </c>
      <c r="BE24">
        <v>17</v>
      </c>
      <c r="BF24">
        <v>14</v>
      </c>
      <c r="BG24"/>
      <c r="BH24" t="str">
        <f t="shared" si="10"/>
        <v>2HeavyLightMedium45</v>
      </c>
      <c r="BI24">
        <v>2</v>
      </c>
      <c r="BJ24" t="s">
        <v>37</v>
      </c>
      <c r="BK24" t="s">
        <v>20</v>
      </c>
      <c r="BL24" t="s">
        <v>36</v>
      </c>
      <c r="BM24">
        <v>45</v>
      </c>
      <c r="BN24" s="1" t="s">
        <v>69</v>
      </c>
      <c r="BO24">
        <v>23</v>
      </c>
      <c r="BP24">
        <v>16</v>
      </c>
      <c r="BQ24"/>
      <c r="BR24"/>
      <c r="BS24">
        <v>3</v>
      </c>
      <c r="BT24" t="s">
        <v>37</v>
      </c>
      <c r="BU24" t="s">
        <v>20</v>
      </c>
      <c r="BV24" t="s">
        <v>36</v>
      </c>
      <c r="BW24">
        <v>45</v>
      </c>
      <c r="BX24">
        <v>23</v>
      </c>
      <c r="BY24">
        <v>18</v>
      </c>
      <c r="BZ24"/>
      <c r="CA24"/>
      <c r="CB24">
        <v>3</v>
      </c>
      <c r="CC24" t="s">
        <v>20</v>
      </c>
      <c r="CD24" t="s">
        <v>36</v>
      </c>
      <c r="CE24" t="s">
        <v>36</v>
      </c>
      <c r="CF24" t="s">
        <v>37</v>
      </c>
      <c r="CG24">
        <v>45</v>
      </c>
      <c r="CH24">
        <v>33</v>
      </c>
      <c r="CI24">
        <v>29</v>
      </c>
      <c r="CJ24">
        <v>14</v>
      </c>
      <c r="CK24"/>
      <c r="CL24"/>
      <c r="CM24">
        <v>3</v>
      </c>
      <c r="CN24" t="s">
        <v>37</v>
      </c>
      <c r="CO24" t="s">
        <v>20</v>
      </c>
      <c r="CP24" t="s">
        <v>36</v>
      </c>
      <c r="CQ24">
        <v>25</v>
      </c>
      <c r="CR24" s="1" t="s">
        <v>69</v>
      </c>
      <c r="CS24">
        <v>23</v>
      </c>
      <c r="CT24">
        <v>14</v>
      </c>
      <c r="CU24"/>
      <c r="CV24"/>
      <c r="CW24"/>
      <c r="CX24"/>
      <c r="CY24"/>
    </row>
    <row r="25" spans="1:103" ht="15" customHeight="1" x14ac:dyDescent="0.25">
      <c r="A25" s="59" t="s">
        <v>5</v>
      </c>
      <c r="B25" s="59"/>
      <c r="C25" s="73" t="s">
        <v>15</v>
      </c>
      <c r="D25" s="73"/>
      <c r="E25" s="90"/>
      <c r="F25" s="90"/>
      <c r="G25" s="63"/>
      <c r="H25" s="63"/>
      <c r="I25" s="63"/>
      <c r="J25" s="63"/>
      <c r="K25" s="63"/>
      <c r="L25" s="63"/>
      <c r="M25" s="65"/>
      <c r="N25"/>
      <c r="O25"/>
      <c r="P25"/>
      <c r="Q25"/>
      <c r="R25"/>
      <c r="S25"/>
      <c r="T25"/>
      <c r="U25"/>
      <c r="V25" t="str">
        <f t="shared" si="12"/>
        <v>93</v>
      </c>
      <c r="W25">
        <v>9</v>
      </c>
      <c r="X25">
        <v>3</v>
      </c>
      <c r="Y25">
        <v>160</v>
      </c>
      <c r="Z25">
        <v>160</v>
      </c>
      <c r="AA25"/>
      <c r="AB25" t="str">
        <f t="shared" si="13"/>
        <v>96</v>
      </c>
      <c r="AC25">
        <v>9</v>
      </c>
      <c r="AD25">
        <v>6</v>
      </c>
      <c r="AE25">
        <v>165</v>
      </c>
      <c r="AF25">
        <v>100</v>
      </c>
      <c r="AG25"/>
      <c r="AH25" t="str">
        <f t="shared" si="14"/>
        <v>101</v>
      </c>
      <c r="AI25">
        <v>10</v>
      </c>
      <c r="AJ25">
        <v>1</v>
      </c>
      <c r="AK25">
        <v>170</v>
      </c>
      <c r="AL25">
        <v>180</v>
      </c>
      <c r="AM25"/>
      <c r="AN25" t="str">
        <f t="shared" si="15"/>
        <v>2HeavyLightMedium60</v>
      </c>
      <c r="AO25">
        <v>2</v>
      </c>
      <c r="AP25" t="s">
        <v>37</v>
      </c>
      <c r="AQ25" t="s">
        <v>20</v>
      </c>
      <c r="AR25" t="s">
        <v>36</v>
      </c>
      <c r="AS25">
        <v>60</v>
      </c>
      <c r="AT25">
        <v>24</v>
      </c>
      <c r="AU25">
        <v>21</v>
      </c>
      <c r="AV25"/>
      <c r="AW25" t="str">
        <f t="shared" si="16"/>
        <v>2LightMediumMediumHeavy60</v>
      </c>
      <c r="AX25">
        <v>2</v>
      </c>
      <c r="AY25" t="s">
        <v>20</v>
      </c>
      <c r="AZ25" t="s">
        <v>36</v>
      </c>
      <c r="BA25" t="s">
        <v>36</v>
      </c>
      <c r="BB25" t="s">
        <v>37</v>
      </c>
      <c r="BC25">
        <v>60</v>
      </c>
      <c r="BD25">
        <v>31</v>
      </c>
      <c r="BE25">
        <v>28</v>
      </c>
      <c r="BF25">
        <v>15</v>
      </c>
      <c r="BG25"/>
      <c r="BH25" t="str">
        <f t="shared" si="10"/>
        <v>2HeavyLightMedium60</v>
      </c>
      <c r="BI25">
        <v>2</v>
      </c>
      <c r="BJ25" t="s">
        <v>37</v>
      </c>
      <c r="BK25" t="s">
        <v>20</v>
      </c>
      <c r="BL25" t="s">
        <v>36</v>
      </c>
      <c r="BM25">
        <v>60</v>
      </c>
      <c r="BN25" s="1" t="s">
        <v>69</v>
      </c>
      <c r="BO25">
        <v>26</v>
      </c>
      <c r="BP25">
        <v>19</v>
      </c>
      <c r="BQ25"/>
      <c r="BR25"/>
      <c r="BS25">
        <v>3</v>
      </c>
      <c r="BT25" t="s">
        <v>37</v>
      </c>
      <c r="BU25" t="s">
        <v>20</v>
      </c>
      <c r="BV25" t="s">
        <v>36</v>
      </c>
      <c r="BW25">
        <v>60</v>
      </c>
      <c r="BX25">
        <v>26</v>
      </c>
      <c r="BY25">
        <v>22</v>
      </c>
      <c r="BZ25"/>
      <c r="CA25"/>
      <c r="CB25">
        <v>3</v>
      </c>
      <c r="CC25" t="s">
        <v>20</v>
      </c>
      <c r="CD25" t="s">
        <v>36</v>
      </c>
      <c r="CE25" t="s">
        <v>36</v>
      </c>
      <c r="CF25" t="s">
        <v>37</v>
      </c>
      <c r="CG25">
        <v>60</v>
      </c>
      <c r="CH25">
        <v>34</v>
      </c>
      <c r="CI25">
        <v>31</v>
      </c>
      <c r="CJ25">
        <v>16</v>
      </c>
      <c r="CK25"/>
      <c r="CL25"/>
      <c r="CM25">
        <v>3</v>
      </c>
      <c r="CN25" t="s">
        <v>37</v>
      </c>
      <c r="CO25" t="s">
        <v>20</v>
      </c>
      <c r="CP25" t="s">
        <v>36</v>
      </c>
      <c r="CQ25">
        <v>45</v>
      </c>
      <c r="CR25" s="1" t="s">
        <v>69</v>
      </c>
      <c r="CS25">
        <v>25</v>
      </c>
      <c r="CT25">
        <v>16</v>
      </c>
      <c r="CU25"/>
      <c r="CV25"/>
      <c r="CW25"/>
      <c r="CX25"/>
      <c r="CY25"/>
    </row>
    <row r="26" spans="1:103" ht="15" customHeight="1" x14ac:dyDescent="0.25">
      <c r="A26" s="59" t="s">
        <v>6</v>
      </c>
      <c r="B26" s="59"/>
      <c r="C26" s="73" t="s">
        <v>74</v>
      </c>
      <c r="D26" s="73"/>
      <c r="E26" s="90"/>
      <c r="F26" s="90"/>
      <c r="G26" s="63"/>
      <c r="H26" s="63"/>
      <c r="I26" s="63"/>
      <c r="J26" s="63"/>
      <c r="K26" s="63"/>
      <c r="L26" s="63"/>
      <c r="M26" s="65"/>
      <c r="N26"/>
      <c r="O26"/>
      <c r="P26"/>
      <c r="Q26"/>
      <c r="R26"/>
      <c r="S26">
        <f>IF(K7=" ",0,1)</f>
        <v>0</v>
      </c>
      <c r="T26"/>
      <c r="U26"/>
      <c r="V26" t="str">
        <f t="shared" si="12"/>
        <v>94</v>
      </c>
      <c r="W26">
        <v>9</v>
      </c>
      <c r="X26">
        <v>4</v>
      </c>
      <c r="Y26">
        <v>170</v>
      </c>
      <c r="Z26">
        <v>150</v>
      </c>
      <c r="AA26"/>
      <c r="AB26" t="str">
        <f t="shared" si="13"/>
        <v>97</v>
      </c>
      <c r="AC26">
        <v>9</v>
      </c>
      <c r="AD26">
        <v>7</v>
      </c>
      <c r="AE26">
        <v>180</v>
      </c>
      <c r="AF26">
        <v>100</v>
      </c>
      <c r="AG26"/>
      <c r="AH26" t="str">
        <f t="shared" si="14"/>
        <v>102</v>
      </c>
      <c r="AI26">
        <v>10</v>
      </c>
      <c r="AJ26">
        <v>2</v>
      </c>
      <c r="AK26">
        <v>160</v>
      </c>
      <c r="AL26">
        <v>165</v>
      </c>
      <c r="AM26"/>
      <c r="AN26" t="str">
        <f t="shared" si="15"/>
        <v>2HeavyLightHeavy25</v>
      </c>
      <c r="AO26">
        <v>2</v>
      </c>
      <c r="AP26" t="s">
        <v>37</v>
      </c>
      <c r="AQ26" t="s">
        <v>20</v>
      </c>
      <c r="AR26" t="s">
        <v>37</v>
      </c>
      <c r="AS26">
        <v>25</v>
      </c>
      <c r="AT26">
        <v>21</v>
      </c>
      <c r="AU26">
        <v>16</v>
      </c>
      <c r="AV26"/>
      <c r="AW26" t="str">
        <f t="shared" si="16"/>
        <v>2LightMediumHeavyHeavy25</v>
      </c>
      <c r="AX26">
        <v>2</v>
      </c>
      <c r="AY26" t="s">
        <v>20</v>
      </c>
      <c r="AZ26" t="s">
        <v>36</v>
      </c>
      <c r="BA26" t="s">
        <v>37</v>
      </c>
      <c r="BB26" t="s">
        <v>37</v>
      </c>
      <c r="BC26">
        <v>25</v>
      </c>
      <c r="BD26">
        <v>38</v>
      </c>
      <c r="BE26">
        <v>34</v>
      </c>
      <c r="BF26">
        <v>14</v>
      </c>
      <c r="BG26"/>
      <c r="BH26" t="str">
        <f t="shared" si="10"/>
        <v>2HeavyLightHeavy25</v>
      </c>
      <c r="BI26">
        <v>2</v>
      </c>
      <c r="BJ26" t="s">
        <v>37</v>
      </c>
      <c r="BK26" t="s">
        <v>20</v>
      </c>
      <c r="BL26" t="s">
        <v>37</v>
      </c>
      <c r="BM26">
        <v>25</v>
      </c>
      <c r="BN26" s="1" t="s">
        <v>69</v>
      </c>
      <c r="BO26">
        <v>27</v>
      </c>
      <c r="BP26">
        <v>15</v>
      </c>
      <c r="BQ26"/>
      <c r="BR26"/>
      <c r="BS26">
        <v>3</v>
      </c>
      <c r="BT26" t="s">
        <v>37</v>
      </c>
      <c r="BU26" t="s">
        <v>20</v>
      </c>
      <c r="BV26" t="s">
        <v>37</v>
      </c>
      <c r="BW26">
        <v>25</v>
      </c>
      <c r="BX26">
        <v>23</v>
      </c>
      <c r="BY26">
        <v>17</v>
      </c>
      <c r="BZ26"/>
      <c r="CA26"/>
      <c r="CB26">
        <v>3</v>
      </c>
      <c r="CC26" t="s">
        <v>20</v>
      </c>
      <c r="CD26" t="s">
        <v>36</v>
      </c>
      <c r="CE26" t="s">
        <v>37</v>
      </c>
      <c r="CF26" t="s">
        <v>37</v>
      </c>
      <c r="CG26">
        <v>25</v>
      </c>
      <c r="CH26">
        <v>41</v>
      </c>
      <c r="CI26">
        <v>36</v>
      </c>
      <c r="CJ26">
        <v>14</v>
      </c>
      <c r="CK26"/>
      <c r="CL26"/>
      <c r="CM26">
        <v>3</v>
      </c>
      <c r="CN26" t="s">
        <v>37</v>
      </c>
      <c r="CO26" t="s">
        <v>20</v>
      </c>
      <c r="CP26" t="s">
        <v>36</v>
      </c>
      <c r="CQ26">
        <v>60</v>
      </c>
      <c r="CR26" s="1" t="s">
        <v>69</v>
      </c>
      <c r="CS26">
        <v>28</v>
      </c>
      <c r="CT26">
        <v>20</v>
      </c>
      <c r="CU26"/>
      <c r="CV26"/>
      <c r="CW26"/>
      <c r="CX26"/>
      <c r="CY26"/>
    </row>
    <row r="27" spans="1:103" ht="15" customHeight="1" x14ac:dyDescent="0.25">
      <c r="A27" s="59" t="s">
        <v>3</v>
      </c>
      <c r="B27" s="59"/>
      <c r="C27" s="115" t="str">
        <f>IF(C25="No",VLOOKUP(S46,S48:Y79,6,0),VLOOKUP(S46,S48:Y79,7,0))</f>
        <v>Medium</v>
      </c>
      <c r="D27" s="115"/>
      <c r="E27" s="90"/>
      <c r="F27" s="90"/>
      <c r="G27" s="63"/>
      <c r="H27" s="63"/>
      <c r="I27" s="63"/>
      <c r="J27" s="63"/>
      <c r="K27" s="63"/>
      <c r="L27" s="63"/>
      <c r="M27" s="65"/>
      <c r="N27"/>
      <c r="O27"/>
      <c r="P27"/>
      <c r="Q27"/>
      <c r="R27"/>
      <c r="S27">
        <f>IF(A17=" ",0,1)</f>
        <v>1</v>
      </c>
      <c r="T27"/>
      <c r="U27"/>
      <c r="V27" t="str">
        <f t="shared" si="12"/>
        <v>95</v>
      </c>
      <c r="W27">
        <v>9</v>
      </c>
      <c r="X27">
        <v>5</v>
      </c>
      <c r="Y27">
        <v>220</v>
      </c>
      <c r="Z27">
        <v>135</v>
      </c>
      <c r="AA27"/>
      <c r="AB27" t="str">
        <f t="shared" si="13"/>
        <v>105</v>
      </c>
      <c r="AC27">
        <v>10</v>
      </c>
      <c r="AD27">
        <v>5</v>
      </c>
      <c r="AE27">
        <v>165</v>
      </c>
      <c r="AF27">
        <v>110</v>
      </c>
      <c r="AG27"/>
      <c r="AH27" t="str">
        <f t="shared" si="14"/>
        <v>103</v>
      </c>
      <c r="AI27">
        <v>10</v>
      </c>
      <c r="AJ27">
        <v>3</v>
      </c>
      <c r="AK27">
        <v>160</v>
      </c>
      <c r="AL27">
        <v>155</v>
      </c>
      <c r="AM27"/>
      <c r="AN27" t="str">
        <f t="shared" si="15"/>
        <v>2HeavyLightHeavy45</v>
      </c>
      <c r="AO27">
        <v>2</v>
      </c>
      <c r="AP27" t="s">
        <v>37</v>
      </c>
      <c r="AQ27" t="s">
        <v>20</v>
      </c>
      <c r="AR27" t="s">
        <v>37</v>
      </c>
      <c r="AS27">
        <v>45</v>
      </c>
      <c r="AT27">
        <v>23</v>
      </c>
      <c r="AU27">
        <v>18</v>
      </c>
      <c r="AV27"/>
      <c r="AW27" t="str">
        <f t="shared" si="16"/>
        <v>2LightMediumHeavyHeavy45</v>
      </c>
      <c r="AX27">
        <v>2</v>
      </c>
      <c r="AY27" t="s">
        <v>20</v>
      </c>
      <c r="AZ27" t="s">
        <v>36</v>
      </c>
      <c r="BA27" t="s">
        <v>37</v>
      </c>
      <c r="BB27" t="s">
        <v>37</v>
      </c>
      <c r="BC27">
        <v>45</v>
      </c>
      <c r="BD27">
        <v>39</v>
      </c>
      <c r="BE27">
        <v>34</v>
      </c>
      <c r="BF27">
        <v>15</v>
      </c>
      <c r="BG27"/>
      <c r="BH27" t="str">
        <f t="shared" si="10"/>
        <v>2HeavyLightHeavy45</v>
      </c>
      <c r="BI27">
        <v>2</v>
      </c>
      <c r="BJ27" t="s">
        <v>37</v>
      </c>
      <c r="BK27" t="s">
        <v>20</v>
      </c>
      <c r="BL27" t="s">
        <v>37</v>
      </c>
      <c r="BM27">
        <v>45</v>
      </c>
      <c r="BN27" s="1" t="s">
        <v>69</v>
      </c>
      <c r="BO27">
        <v>29</v>
      </c>
      <c r="BP27">
        <v>17</v>
      </c>
      <c r="BQ27"/>
      <c r="BR27"/>
      <c r="BS27">
        <v>3</v>
      </c>
      <c r="BT27" t="s">
        <v>37</v>
      </c>
      <c r="BU27" t="s">
        <v>20</v>
      </c>
      <c r="BV27" t="s">
        <v>37</v>
      </c>
      <c r="BW27">
        <v>45</v>
      </c>
      <c r="BX27">
        <v>25</v>
      </c>
      <c r="BY27">
        <v>19</v>
      </c>
      <c r="BZ27"/>
      <c r="CA27"/>
      <c r="CB27">
        <v>3</v>
      </c>
      <c r="CC27" t="s">
        <v>20</v>
      </c>
      <c r="CD27" t="s">
        <v>36</v>
      </c>
      <c r="CE27" t="s">
        <v>37</v>
      </c>
      <c r="CF27" t="s">
        <v>37</v>
      </c>
      <c r="CG27">
        <v>45</v>
      </c>
      <c r="CH27">
        <v>42</v>
      </c>
      <c r="CI27">
        <v>37</v>
      </c>
      <c r="CJ27">
        <v>15</v>
      </c>
      <c r="CK27"/>
      <c r="CL27"/>
      <c r="CM27">
        <v>3</v>
      </c>
      <c r="CN27" t="s">
        <v>37</v>
      </c>
      <c r="CO27" t="s">
        <v>20</v>
      </c>
      <c r="CP27" t="s">
        <v>37</v>
      </c>
      <c r="CQ27">
        <v>25</v>
      </c>
      <c r="CR27" s="1" t="s">
        <v>69</v>
      </c>
      <c r="CS27">
        <v>28</v>
      </c>
      <c r="CT27">
        <v>15</v>
      </c>
      <c r="CU27"/>
      <c r="CV27"/>
      <c r="CW27"/>
      <c r="CX27"/>
      <c r="CY27"/>
    </row>
    <row r="28" spans="1:103" ht="15" customHeight="1" x14ac:dyDescent="0.25">
      <c r="A28" s="60"/>
      <c r="B28" s="61"/>
      <c r="C28" s="61"/>
      <c r="D28" s="61"/>
      <c r="E28" s="90"/>
      <c r="F28" s="90"/>
      <c r="G28" s="63"/>
      <c r="H28" s="63"/>
      <c r="I28" s="63"/>
      <c r="J28" s="63"/>
      <c r="K28" s="63"/>
      <c r="L28" s="63"/>
      <c r="M28" s="65"/>
      <c r="N28"/>
      <c r="O28"/>
      <c r="P28"/>
      <c r="Q28"/>
      <c r="R28"/>
      <c r="S28"/>
      <c r="T28"/>
      <c r="U28"/>
      <c r="V28" t="str">
        <f t="shared" si="12"/>
        <v>96</v>
      </c>
      <c r="W28">
        <v>9</v>
      </c>
      <c r="X28">
        <v>6</v>
      </c>
      <c r="Y28">
        <v>200</v>
      </c>
      <c r="Z28">
        <v>125</v>
      </c>
      <c r="AA28"/>
      <c r="AB28" t="str">
        <f t="shared" si="13"/>
        <v>106</v>
      </c>
      <c r="AC28">
        <v>10</v>
      </c>
      <c r="AD28">
        <v>6</v>
      </c>
      <c r="AE28">
        <v>180</v>
      </c>
      <c r="AF28">
        <v>110</v>
      </c>
      <c r="AG28"/>
      <c r="AH28" t="str">
        <f t="shared" si="14"/>
        <v>104</v>
      </c>
      <c r="AI28">
        <v>10</v>
      </c>
      <c r="AJ28">
        <v>4</v>
      </c>
      <c r="AK28">
        <v>170</v>
      </c>
      <c r="AL28">
        <v>145</v>
      </c>
      <c r="AM28"/>
      <c r="AN28" t="str">
        <f t="shared" si="15"/>
        <v>2HeavyLightHeavy60</v>
      </c>
      <c r="AO28">
        <v>2</v>
      </c>
      <c r="AP28" t="s">
        <v>37</v>
      </c>
      <c r="AQ28" t="s">
        <v>20</v>
      </c>
      <c r="AR28" t="s">
        <v>37</v>
      </c>
      <c r="AS28">
        <v>60</v>
      </c>
      <c r="AT28">
        <v>26</v>
      </c>
      <c r="AU28">
        <v>22</v>
      </c>
      <c r="AV28"/>
      <c r="AW28" t="str">
        <f t="shared" si="16"/>
        <v>2LightMediumHeavyHeavy60</v>
      </c>
      <c r="AX28">
        <v>2</v>
      </c>
      <c r="AY28" t="s">
        <v>20</v>
      </c>
      <c r="AZ28" t="s">
        <v>36</v>
      </c>
      <c r="BA28" t="s">
        <v>37</v>
      </c>
      <c r="BB28" t="s">
        <v>37</v>
      </c>
      <c r="BC28">
        <v>60</v>
      </c>
      <c r="BD28">
        <v>40</v>
      </c>
      <c r="BE28">
        <v>35</v>
      </c>
      <c r="BF28">
        <v>16</v>
      </c>
      <c r="BG28"/>
      <c r="BH28" t="str">
        <f t="shared" si="10"/>
        <v>2HeavyLightHeavy60</v>
      </c>
      <c r="BI28">
        <v>2</v>
      </c>
      <c r="BJ28" t="s">
        <v>37</v>
      </c>
      <c r="BK28" t="s">
        <v>20</v>
      </c>
      <c r="BL28" t="s">
        <v>37</v>
      </c>
      <c r="BM28">
        <v>60</v>
      </c>
      <c r="BN28" s="1" t="s">
        <v>69</v>
      </c>
      <c r="BO28">
        <v>32</v>
      </c>
      <c r="BP28">
        <v>21</v>
      </c>
      <c r="BQ28"/>
      <c r="BR28"/>
      <c r="BS28">
        <v>3</v>
      </c>
      <c r="BT28" t="s">
        <v>37</v>
      </c>
      <c r="BU28" t="s">
        <v>20</v>
      </c>
      <c r="BV28" t="s">
        <v>37</v>
      </c>
      <c r="BW28">
        <v>60</v>
      </c>
      <c r="BX28">
        <v>28</v>
      </c>
      <c r="BY28">
        <v>23</v>
      </c>
      <c r="BZ28"/>
      <c r="CA28"/>
      <c r="CB28">
        <v>3</v>
      </c>
      <c r="CC28" t="s">
        <v>20</v>
      </c>
      <c r="CD28" t="s">
        <v>36</v>
      </c>
      <c r="CE28" t="s">
        <v>37</v>
      </c>
      <c r="CF28" t="s">
        <v>37</v>
      </c>
      <c r="CG28">
        <v>60</v>
      </c>
      <c r="CH28">
        <v>43</v>
      </c>
      <c r="CI28">
        <v>38</v>
      </c>
      <c r="CJ28">
        <v>17</v>
      </c>
      <c r="CK28"/>
      <c r="CL28"/>
      <c r="CM28">
        <v>3</v>
      </c>
      <c r="CN28" t="s">
        <v>37</v>
      </c>
      <c r="CO28" t="s">
        <v>20</v>
      </c>
      <c r="CP28" t="s">
        <v>37</v>
      </c>
      <c r="CQ28">
        <v>45</v>
      </c>
      <c r="CR28" s="1" t="s">
        <v>69</v>
      </c>
      <c r="CS28">
        <v>30</v>
      </c>
      <c r="CT28">
        <v>17</v>
      </c>
      <c r="CU28"/>
      <c r="CV28"/>
      <c r="CW28"/>
      <c r="CX28"/>
      <c r="CY28"/>
    </row>
    <row r="29" spans="1:103" ht="15" customHeight="1" x14ac:dyDescent="0.25">
      <c r="A29" s="62"/>
      <c r="B29" s="63"/>
      <c r="C29" s="63"/>
      <c r="D29" s="63"/>
      <c r="E29" s="90"/>
      <c r="F29" s="90"/>
      <c r="G29" s="63"/>
      <c r="H29" s="63"/>
      <c r="I29" s="63"/>
      <c r="J29" s="63"/>
      <c r="K29" s="63"/>
      <c r="L29" s="63"/>
      <c r="M29" s="65"/>
      <c r="N29"/>
      <c r="O29"/>
      <c r="P29"/>
      <c r="Q29"/>
      <c r="R29"/>
      <c r="S29"/>
      <c r="T29"/>
      <c r="U29"/>
      <c r="V29" t="str">
        <f t="shared" si="12"/>
        <v>100</v>
      </c>
      <c r="W29">
        <v>10</v>
      </c>
      <c r="X29">
        <v>0</v>
      </c>
      <c r="Y29">
        <v>220</v>
      </c>
      <c r="Z29">
        <v>220</v>
      </c>
      <c r="AA29"/>
      <c r="AB29" t="str">
        <f t="shared" si="13"/>
        <v>107</v>
      </c>
      <c r="AC29">
        <v>10</v>
      </c>
      <c r="AD29">
        <v>7</v>
      </c>
      <c r="AE29">
        <v>190</v>
      </c>
      <c r="AF29">
        <v>110</v>
      </c>
      <c r="AG29"/>
      <c r="AH29" t="str">
        <f t="shared" si="14"/>
        <v>105</v>
      </c>
      <c r="AI29">
        <v>10</v>
      </c>
      <c r="AJ29">
        <v>5</v>
      </c>
      <c r="AK29">
        <v>190</v>
      </c>
      <c r="AL29">
        <v>135</v>
      </c>
      <c r="AM29"/>
      <c r="AN29" t="str">
        <f t="shared" si="15"/>
        <v>2HeavyMediumMedium25</v>
      </c>
      <c r="AO29">
        <v>2</v>
      </c>
      <c r="AP29" t="s">
        <v>37</v>
      </c>
      <c r="AQ29" t="s">
        <v>36</v>
      </c>
      <c r="AR29" t="s">
        <v>36</v>
      </c>
      <c r="AS29">
        <v>25</v>
      </c>
      <c r="AT29">
        <v>22</v>
      </c>
      <c r="AU29">
        <v>17</v>
      </c>
      <c r="AV29"/>
      <c r="AW29" t="str">
        <f t="shared" si="16"/>
        <v>2LightHeavyHeavyHeavy25</v>
      </c>
      <c r="AX29">
        <v>2</v>
      </c>
      <c r="AY29" t="s">
        <v>20</v>
      </c>
      <c r="AZ29" t="s">
        <v>37</v>
      </c>
      <c r="BA29" t="s">
        <v>37</v>
      </c>
      <c r="BB29" t="s">
        <v>37</v>
      </c>
      <c r="BC29">
        <v>25</v>
      </c>
      <c r="BD29">
        <v>48</v>
      </c>
      <c r="BE29">
        <v>43</v>
      </c>
      <c r="BF29">
        <v>18</v>
      </c>
      <c r="BG29"/>
      <c r="BH29" t="str">
        <f t="shared" si="10"/>
        <v>2HeavyMediumMedium25</v>
      </c>
      <c r="BI29">
        <v>2</v>
      </c>
      <c r="BJ29" t="s">
        <v>37</v>
      </c>
      <c r="BK29" t="s">
        <v>36</v>
      </c>
      <c r="BL29" t="s">
        <v>36</v>
      </c>
      <c r="BM29">
        <v>25</v>
      </c>
      <c r="BN29">
        <v>11</v>
      </c>
      <c r="BO29">
        <v>24</v>
      </c>
      <c r="BP29">
        <v>15</v>
      </c>
      <c r="BQ29"/>
      <c r="BR29"/>
      <c r="BS29">
        <v>3</v>
      </c>
      <c r="BT29" t="s">
        <v>37</v>
      </c>
      <c r="BU29" t="s">
        <v>36</v>
      </c>
      <c r="BV29" t="s">
        <v>36</v>
      </c>
      <c r="BW29">
        <v>25</v>
      </c>
      <c r="BX29">
        <v>23</v>
      </c>
      <c r="BY29">
        <v>18</v>
      </c>
      <c r="BZ29"/>
      <c r="CA29"/>
      <c r="CB29">
        <v>3</v>
      </c>
      <c r="CC29" t="s">
        <v>20</v>
      </c>
      <c r="CD29" t="s">
        <v>37</v>
      </c>
      <c r="CE29" t="s">
        <v>37</v>
      </c>
      <c r="CF29" t="s">
        <v>37</v>
      </c>
      <c r="CG29">
        <v>25</v>
      </c>
      <c r="CH29">
        <v>51</v>
      </c>
      <c r="CI29">
        <v>45</v>
      </c>
      <c r="CJ29">
        <v>19</v>
      </c>
      <c r="CK29"/>
      <c r="CL29"/>
      <c r="CM29">
        <v>3</v>
      </c>
      <c r="CN29" t="s">
        <v>37</v>
      </c>
      <c r="CO29" t="s">
        <v>20</v>
      </c>
      <c r="CP29" t="s">
        <v>37</v>
      </c>
      <c r="CQ29">
        <v>60</v>
      </c>
      <c r="CR29" s="1" t="s">
        <v>69</v>
      </c>
      <c r="CS29">
        <v>33</v>
      </c>
      <c r="CT29">
        <v>21</v>
      </c>
      <c r="CU29"/>
      <c r="CV29"/>
      <c r="CW29"/>
      <c r="CX29"/>
      <c r="CY29"/>
    </row>
    <row r="30" spans="1:103" ht="15" customHeight="1" x14ac:dyDescent="0.25">
      <c r="A30" s="58"/>
      <c r="B30" s="58"/>
      <c r="C30" s="58"/>
      <c r="D30" s="58"/>
      <c r="E30" s="58"/>
      <c r="F30" s="58"/>
      <c r="G30" s="58"/>
      <c r="H30" s="58"/>
      <c r="I30" s="58"/>
      <c r="J30" s="58"/>
      <c r="K30" s="58"/>
      <c r="L30" s="58"/>
      <c r="M30" s="58"/>
      <c r="N30"/>
      <c r="O30"/>
      <c r="P30"/>
      <c r="Q30"/>
      <c r="R30"/>
      <c r="S30"/>
      <c r="T30"/>
      <c r="U30"/>
      <c r="V30" t="str">
        <f t="shared" si="12"/>
        <v>101</v>
      </c>
      <c r="W30">
        <v>10</v>
      </c>
      <c r="X30">
        <v>1</v>
      </c>
      <c r="Y30">
        <v>200</v>
      </c>
      <c r="Z30">
        <v>205</v>
      </c>
      <c r="AA30"/>
      <c r="AB30" t="str">
        <f t="shared" si="13"/>
        <v>108</v>
      </c>
      <c r="AC30">
        <v>10</v>
      </c>
      <c r="AD30">
        <v>8</v>
      </c>
      <c r="AE30">
        <v>200</v>
      </c>
      <c r="AF30">
        <v>110</v>
      </c>
      <c r="AG30"/>
      <c r="AH30" t="str">
        <f t="shared" si="14"/>
        <v>106</v>
      </c>
      <c r="AI30">
        <v>10</v>
      </c>
      <c r="AJ30">
        <v>6</v>
      </c>
      <c r="AK30">
        <v>190</v>
      </c>
      <c r="AL30">
        <v>120</v>
      </c>
      <c r="AM30"/>
      <c r="AN30" t="str">
        <f t="shared" si="15"/>
        <v>2HeavyMediumMedium45</v>
      </c>
      <c r="AO30">
        <v>2</v>
      </c>
      <c r="AP30" t="s">
        <v>37</v>
      </c>
      <c r="AQ30" t="s">
        <v>36</v>
      </c>
      <c r="AR30" t="s">
        <v>36</v>
      </c>
      <c r="AS30">
        <v>45</v>
      </c>
      <c r="AT30">
        <v>24</v>
      </c>
      <c r="AU30">
        <v>19</v>
      </c>
      <c r="AV30"/>
      <c r="AW30" t="str">
        <f t="shared" si="16"/>
        <v>2LightHeavyHeavyHeavy45</v>
      </c>
      <c r="AX30">
        <v>2</v>
      </c>
      <c r="AY30" t="s">
        <v>20</v>
      </c>
      <c r="AZ30" t="s">
        <v>37</v>
      </c>
      <c r="BA30" t="s">
        <v>37</v>
      </c>
      <c r="BB30" t="s">
        <v>37</v>
      </c>
      <c r="BC30">
        <v>45</v>
      </c>
      <c r="BD30">
        <v>49</v>
      </c>
      <c r="BE30">
        <v>44</v>
      </c>
      <c r="BF30">
        <v>19</v>
      </c>
      <c r="BG30"/>
      <c r="BH30" t="str">
        <f t="shared" si="10"/>
        <v>2HeavyMediumMedium45</v>
      </c>
      <c r="BI30">
        <v>2</v>
      </c>
      <c r="BJ30" t="s">
        <v>37</v>
      </c>
      <c r="BK30" t="s">
        <v>36</v>
      </c>
      <c r="BL30" t="s">
        <v>36</v>
      </c>
      <c r="BM30">
        <v>45</v>
      </c>
      <c r="BN30">
        <v>12</v>
      </c>
      <c r="BO30">
        <v>26</v>
      </c>
      <c r="BP30">
        <v>17</v>
      </c>
      <c r="BQ30"/>
      <c r="BR30"/>
      <c r="BS30">
        <v>3</v>
      </c>
      <c r="BT30" t="s">
        <v>37</v>
      </c>
      <c r="BU30" t="s">
        <v>36</v>
      </c>
      <c r="BV30" t="s">
        <v>36</v>
      </c>
      <c r="BW30">
        <v>45</v>
      </c>
      <c r="BX30">
        <v>25</v>
      </c>
      <c r="BY30">
        <v>20</v>
      </c>
      <c r="BZ30"/>
      <c r="CA30"/>
      <c r="CB30">
        <v>3</v>
      </c>
      <c r="CC30" t="s">
        <v>20</v>
      </c>
      <c r="CD30" t="s">
        <v>37</v>
      </c>
      <c r="CE30" t="s">
        <v>37</v>
      </c>
      <c r="CF30" t="s">
        <v>37</v>
      </c>
      <c r="CG30">
        <v>45</v>
      </c>
      <c r="CH30">
        <v>52</v>
      </c>
      <c r="CI30">
        <v>46</v>
      </c>
      <c r="CJ30">
        <v>20</v>
      </c>
      <c r="CK30"/>
      <c r="CL30"/>
      <c r="CM30">
        <v>3</v>
      </c>
      <c r="CN30" t="s">
        <v>37</v>
      </c>
      <c r="CO30" t="s">
        <v>36</v>
      </c>
      <c r="CP30" t="s">
        <v>36</v>
      </c>
      <c r="CQ30">
        <v>25</v>
      </c>
      <c r="CR30">
        <v>11</v>
      </c>
      <c r="CS30">
        <v>25</v>
      </c>
      <c r="CT30">
        <v>15</v>
      </c>
      <c r="CU30"/>
      <c r="CV30"/>
      <c r="CW30"/>
      <c r="CX30"/>
      <c r="CY30"/>
    </row>
    <row r="31" spans="1:103" ht="15" customHeight="1" x14ac:dyDescent="0.25">
      <c r="A31" s="102" t="s">
        <v>151</v>
      </c>
      <c r="B31" s="102"/>
      <c r="C31" s="102"/>
      <c r="D31" s="102"/>
      <c r="E31" s="102"/>
      <c r="F31" s="102"/>
      <c r="G31" s="102"/>
      <c r="H31" s="102"/>
      <c r="I31" s="102"/>
      <c r="J31" s="102"/>
      <c r="K31" s="102"/>
      <c r="L31" s="102"/>
      <c r="M31" s="102"/>
      <c r="N31"/>
      <c r="O31"/>
      <c r="P31"/>
      <c r="Q31"/>
      <c r="R31"/>
      <c r="S31"/>
      <c r="T31"/>
      <c r="U31"/>
      <c r="V31" t="str">
        <f t="shared" si="12"/>
        <v>102</v>
      </c>
      <c r="W31">
        <v>10</v>
      </c>
      <c r="X31">
        <v>2</v>
      </c>
      <c r="Y31">
        <v>190</v>
      </c>
      <c r="Z31">
        <v>195</v>
      </c>
      <c r="AA31"/>
      <c r="AB31"/>
      <c r="AC31"/>
      <c r="AD31"/>
      <c r="AE31"/>
      <c r="AF31"/>
      <c r="AG31"/>
      <c r="AH31" t="str">
        <f t="shared" si="14"/>
        <v>107</v>
      </c>
      <c r="AI31">
        <v>10</v>
      </c>
      <c r="AJ31">
        <v>7</v>
      </c>
      <c r="AK31">
        <v>190</v>
      </c>
      <c r="AL31">
        <v>110</v>
      </c>
      <c r="AM31"/>
      <c r="AN31" t="str">
        <f t="shared" si="15"/>
        <v>2HeavyMediumMedium60</v>
      </c>
      <c r="AO31">
        <v>2</v>
      </c>
      <c r="AP31" t="s">
        <v>37</v>
      </c>
      <c r="AQ31" t="s">
        <v>36</v>
      </c>
      <c r="AR31" t="s">
        <v>36</v>
      </c>
      <c r="AS31">
        <v>60</v>
      </c>
      <c r="AT31">
        <v>27</v>
      </c>
      <c r="AU31">
        <v>23</v>
      </c>
      <c r="AV31"/>
      <c r="AW31" t="str">
        <f t="shared" si="16"/>
        <v>2LightHeavyHeavyHeavy60</v>
      </c>
      <c r="AX31">
        <v>2</v>
      </c>
      <c r="AY31" t="s">
        <v>20</v>
      </c>
      <c r="AZ31" t="s">
        <v>37</v>
      </c>
      <c r="BA31" t="s">
        <v>37</v>
      </c>
      <c r="BB31" t="s">
        <v>37</v>
      </c>
      <c r="BC31">
        <v>60</v>
      </c>
      <c r="BD31">
        <v>50</v>
      </c>
      <c r="BE31">
        <v>45</v>
      </c>
      <c r="BF31">
        <v>21</v>
      </c>
      <c r="BG31"/>
      <c r="BH31" t="str">
        <f t="shared" si="10"/>
        <v>2HeavyMediumMedium60</v>
      </c>
      <c r="BI31">
        <v>2</v>
      </c>
      <c r="BJ31" t="s">
        <v>37</v>
      </c>
      <c r="BK31" t="s">
        <v>36</v>
      </c>
      <c r="BL31" t="s">
        <v>36</v>
      </c>
      <c r="BM31">
        <v>60</v>
      </c>
      <c r="BN31">
        <v>16</v>
      </c>
      <c r="BO31">
        <v>29</v>
      </c>
      <c r="BP31">
        <v>21</v>
      </c>
      <c r="BQ31"/>
      <c r="BR31"/>
      <c r="BS31">
        <v>3</v>
      </c>
      <c r="BT31" t="s">
        <v>37</v>
      </c>
      <c r="BU31" t="s">
        <v>36</v>
      </c>
      <c r="BV31" t="s">
        <v>36</v>
      </c>
      <c r="BW31">
        <v>60</v>
      </c>
      <c r="BX31">
        <v>28</v>
      </c>
      <c r="BY31">
        <v>23</v>
      </c>
      <c r="BZ31"/>
      <c r="CA31"/>
      <c r="CB31">
        <v>3</v>
      </c>
      <c r="CC31" t="s">
        <v>20</v>
      </c>
      <c r="CD31" t="s">
        <v>37</v>
      </c>
      <c r="CE31" t="s">
        <v>37</v>
      </c>
      <c r="CF31" t="s">
        <v>37</v>
      </c>
      <c r="CG31">
        <v>60</v>
      </c>
      <c r="CH31">
        <v>53</v>
      </c>
      <c r="CI31">
        <v>47</v>
      </c>
      <c r="CJ31">
        <v>21</v>
      </c>
      <c r="CK31"/>
      <c r="CL31"/>
      <c r="CM31">
        <v>3</v>
      </c>
      <c r="CN31" t="s">
        <v>37</v>
      </c>
      <c r="CO31" t="s">
        <v>36</v>
      </c>
      <c r="CP31" t="s">
        <v>36</v>
      </c>
      <c r="CQ31">
        <v>45</v>
      </c>
      <c r="CR31">
        <v>12</v>
      </c>
      <c r="CS31">
        <v>27</v>
      </c>
      <c r="CT31">
        <v>17</v>
      </c>
      <c r="CU31"/>
      <c r="CV31"/>
      <c r="CW31"/>
      <c r="CX31"/>
      <c r="CY31"/>
    </row>
    <row r="32" spans="1:103" ht="15" customHeight="1" x14ac:dyDescent="0.25">
      <c r="A32" s="55" t="s">
        <v>17</v>
      </c>
      <c r="B32" s="55"/>
      <c r="C32" s="112" t="s">
        <v>24</v>
      </c>
      <c r="D32" s="112"/>
      <c r="E32" s="112"/>
      <c r="F32" s="144" t="s">
        <v>23</v>
      </c>
      <c r="G32" s="145"/>
      <c r="H32" s="146"/>
      <c r="I32" s="66" t="str">
        <f>IF(IFERROR(F33,0)," ","Out of Scope, check roof Height above Eaves.")</f>
        <v xml:space="preserve"> </v>
      </c>
      <c r="J32" s="67"/>
      <c r="K32" s="67"/>
      <c r="L32" s="67"/>
      <c r="M32" s="68"/>
      <c r="N32"/>
      <c r="O32"/>
      <c r="P32"/>
      <c r="Q32"/>
      <c r="R32"/>
      <c r="S32"/>
      <c r="T32"/>
      <c r="U32"/>
      <c r="V32" t="str">
        <f t="shared" si="12"/>
        <v>103</v>
      </c>
      <c r="W32">
        <v>10</v>
      </c>
      <c r="X32">
        <v>3</v>
      </c>
      <c r="Y32">
        <v>185</v>
      </c>
      <c r="Z32">
        <v>180</v>
      </c>
      <c r="AA32"/>
      <c r="AB32"/>
      <c r="AC32"/>
      <c r="AD32"/>
      <c r="AE32"/>
      <c r="AF32"/>
      <c r="AG32"/>
      <c r="AH32"/>
      <c r="AI32"/>
      <c r="AJ32"/>
      <c r="AK32"/>
      <c r="AL32"/>
      <c r="AM32"/>
      <c r="AN32" t="str">
        <f t="shared" si="15"/>
        <v>2HeavyMediumHeavy25</v>
      </c>
      <c r="AO32">
        <v>2</v>
      </c>
      <c r="AP32" t="s">
        <v>37</v>
      </c>
      <c r="AQ32" t="s">
        <v>36</v>
      </c>
      <c r="AR32" t="s">
        <v>37</v>
      </c>
      <c r="AS32">
        <v>25</v>
      </c>
      <c r="AT32">
        <v>22</v>
      </c>
      <c r="AU32">
        <v>17</v>
      </c>
      <c r="AV32"/>
      <c r="AW32" t="str">
        <f t="shared" si="16"/>
        <v>2HeavyLightLightLight25</v>
      </c>
      <c r="AX32">
        <v>2</v>
      </c>
      <c r="AY32" t="s">
        <v>37</v>
      </c>
      <c r="AZ32" t="s">
        <v>20</v>
      </c>
      <c r="BA32" t="s">
        <v>20</v>
      </c>
      <c r="BB32" t="s">
        <v>20</v>
      </c>
      <c r="BC32">
        <v>25</v>
      </c>
      <c r="BD32">
        <v>27</v>
      </c>
      <c r="BE32">
        <v>25</v>
      </c>
      <c r="BF32">
        <v>16</v>
      </c>
      <c r="BG32"/>
      <c r="BH32" t="str">
        <f t="shared" si="10"/>
        <v>2HeavyMediumHeavy25</v>
      </c>
      <c r="BI32">
        <v>2</v>
      </c>
      <c r="BJ32" t="s">
        <v>37</v>
      </c>
      <c r="BK32" t="s">
        <v>36</v>
      </c>
      <c r="BL32" t="s">
        <v>37</v>
      </c>
      <c r="BM32">
        <v>25</v>
      </c>
      <c r="BN32">
        <v>11</v>
      </c>
      <c r="BO32">
        <v>24</v>
      </c>
      <c r="BP32">
        <v>15</v>
      </c>
      <c r="BQ32"/>
      <c r="BR32"/>
      <c r="BS32">
        <v>3</v>
      </c>
      <c r="BT32" t="s">
        <v>37</v>
      </c>
      <c r="BU32" t="s">
        <v>36</v>
      </c>
      <c r="BV32" t="s">
        <v>37</v>
      </c>
      <c r="BW32">
        <v>25</v>
      </c>
      <c r="BX32">
        <v>23</v>
      </c>
      <c r="BY32">
        <v>18</v>
      </c>
      <c r="BZ32"/>
      <c r="CA32"/>
      <c r="CB32">
        <v>3</v>
      </c>
      <c r="CC32" t="s">
        <v>37</v>
      </c>
      <c r="CD32" t="s">
        <v>20</v>
      </c>
      <c r="CE32" t="s">
        <v>20</v>
      </c>
      <c r="CF32" t="s">
        <v>20</v>
      </c>
      <c r="CG32">
        <v>25</v>
      </c>
      <c r="CH32">
        <v>30</v>
      </c>
      <c r="CI32">
        <v>27</v>
      </c>
      <c r="CJ32">
        <v>17</v>
      </c>
      <c r="CK32"/>
      <c r="CL32"/>
      <c r="CM32">
        <v>3</v>
      </c>
      <c r="CN32" t="s">
        <v>37</v>
      </c>
      <c r="CO32" t="s">
        <v>36</v>
      </c>
      <c r="CP32" t="s">
        <v>36</v>
      </c>
      <c r="CQ32">
        <v>60</v>
      </c>
      <c r="CR32">
        <v>16</v>
      </c>
      <c r="CS32">
        <v>30</v>
      </c>
      <c r="CT32">
        <v>21</v>
      </c>
      <c r="CU32"/>
      <c r="CV32"/>
      <c r="CW32"/>
      <c r="CX32"/>
      <c r="CY32"/>
    </row>
    <row r="33" spans="1:103" ht="15" customHeight="1" x14ac:dyDescent="0.25">
      <c r="A33" s="55"/>
      <c r="B33" s="55"/>
      <c r="C33" s="57">
        <f>VLOOKUP(U7,V1:Z36,5,FALSE)*C21*C11</f>
        <v>900</v>
      </c>
      <c r="D33" s="57"/>
      <c r="E33" s="57"/>
      <c r="F33" s="57">
        <f>VLOOKUP(U7,V1:Z36,4,FALSE)*C21*C10</f>
        <v>1947.5</v>
      </c>
      <c r="G33" s="57"/>
      <c r="H33" s="57"/>
      <c r="I33" s="69"/>
      <c r="J33" s="70"/>
      <c r="K33" s="70"/>
      <c r="L33" s="70"/>
      <c r="M33" s="71"/>
      <c r="N33"/>
      <c r="O33"/>
      <c r="P33"/>
      <c r="Q33"/>
      <c r="R33"/>
      <c r="S33"/>
      <c r="T33"/>
      <c r="U33"/>
      <c r="V33" t="str">
        <f t="shared" si="12"/>
        <v>104</v>
      </c>
      <c r="W33">
        <v>10</v>
      </c>
      <c r="X33">
        <v>4</v>
      </c>
      <c r="Y33">
        <v>195</v>
      </c>
      <c r="Z33">
        <v>170</v>
      </c>
      <c r="AA33"/>
      <c r="AB33"/>
      <c r="AC33"/>
      <c r="AD33"/>
      <c r="AE33"/>
      <c r="AF33"/>
      <c r="AG33"/>
      <c r="AH33"/>
      <c r="AI33"/>
      <c r="AJ33"/>
      <c r="AK33"/>
      <c r="AL33"/>
      <c r="AM33"/>
      <c r="AN33" t="str">
        <f t="shared" si="15"/>
        <v>2HeavyMediumHeavy45</v>
      </c>
      <c r="AO33">
        <v>2</v>
      </c>
      <c r="AP33" t="s">
        <v>37</v>
      </c>
      <c r="AQ33" t="s">
        <v>36</v>
      </c>
      <c r="AR33" t="s">
        <v>37</v>
      </c>
      <c r="AS33">
        <v>45</v>
      </c>
      <c r="AT33">
        <v>24</v>
      </c>
      <c r="AU33">
        <v>19</v>
      </c>
      <c r="AV33"/>
      <c r="AW33" t="str">
        <f t="shared" si="16"/>
        <v>2HeavyLightLightLight45</v>
      </c>
      <c r="AX33">
        <v>2</v>
      </c>
      <c r="AY33" t="s">
        <v>37</v>
      </c>
      <c r="AZ33" t="s">
        <v>20</v>
      </c>
      <c r="BA33" t="s">
        <v>20</v>
      </c>
      <c r="BB33" t="s">
        <v>20</v>
      </c>
      <c r="BC33">
        <v>45</v>
      </c>
      <c r="BD33">
        <v>29</v>
      </c>
      <c r="BE33">
        <v>27</v>
      </c>
      <c r="BF33">
        <v>18</v>
      </c>
      <c r="BG33"/>
      <c r="BH33" t="str">
        <f t="shared" si="10"/>
        <v>2HeavyMediumHeavy45</v>
      </c>
      <c r="BI33">
        <v>2</v>
      </c>
      <c r="BJ33" t="s">
        <v>37</v>
      </c>
      <c r="BK33" t="s">
        <v>36</v>
      </c>
      <c r="BL33" t="s">
        <v>37</v>
      </c>
      <c r="BM33">
        <v>45</v>
      </c>
      <c r="BN33">
        <v>12</v>
      </c>
      <c r="BO33">
        <v>26</v>
      </c>
      <c r="BP33">
        <v>17</v>
      </c>
      <c r="BQ33"/>
      <c r="BR33"/>
      <c r="BS33">
        <v>3</v>
      </c>
      <c r="BT33" t="s">
        <v>37</v>
      </c>
      <c r="BU33" t="s">
        <v>36</v>
      </c>
      <c r="BV33" t="s">
        <v>37</v>
      </c>
      <c r="BW33">
        <v>45</v>
      </c>
      <c r="BX33">
        <v>25</v>
      </c>
      <c r="BY33">
        <v>20</v>
      </c>
      <c r="BZ33"/>
      <c r="CA33"/>
      <c r="CB33">
        <v>3</v>
      </c>
      <c r="CC33" t="s">
        <v>37</v>
      </c>
      <c r="CD33" t="s">
        <v>20</v>
      </c>
      <c r="CE33" t="s">
        <v>20</v>
      </c>
      <c r="CF33" t="s">
        <v>20</v>
      </c>
      <c r="CG33">
        <v>45</v>
      </c>
      <c r="CH33">
        <v>32</v>
      </c>
      <c r="CI33">
        <v>29</v>
      </c>
      <c r="CJ33">
        <v>19</v>
      </c>
      <c r="CK33"/>
      <c r="CL33"/>
      <c r="CM33">
        <v>3</v>
      </c>
      <c r="CN33" t="s">
        <v>37</v>
      </c>
      <c r="CO33" t="s">
        <v>36</v>
      </c>
      <c r="CP33" t="s">
        <v>37</v>
      </c>
      <c r="CQ33">
        <v>25</v>
      </c>
      <c r="CR33">
        <v>11</v>
      </c>
      <c r="CS33">
        <v>25</v>
      </c>
      <c r="CT33">
        <v>15</v>
      </c>
      <c r="CU33"/>
      <c r="CV33"/>
      <c r="CW33"/>
      <c r="CX33"/>
      <c r="CY33"/>
    </row>
    <row r="34" spans="1:103" ht="15" customHeight="1" x14ac:dyDescent="0.25">
      <c r="A34" s="56"/>
      <c r="B34" s="56"/>
      <c r="C34" s="56"/>
      <c r="D34" s="56"/>
      <c r="E34" s="56"/>
      <c r="F34" s="56"/>
      <c r="G34" s="56"/>
      <c r="H34" s="56"/>
      <c r="I34" s="56"/>
      <c r="J34" s="56"/>
      <c r="K34" s="56"/>
      <c r="L34" s="56"/>
      <c r="M34" s="56"/>
      <c r="N34"/>
      <c r="O34"/>
      <c r="P34"/>
      <c r="Q34"/>
      <c r="R34"/>
      <c r="S34"/>
      <c r="T34"/>
      <c r="U34"/>
      <c r="V34" t="str">
        <f t="shared" si="12"/>
        <v>105</v>
      </c>
      <c r="W34">
        <v>10</v>
      </c>
      <c r="X34">
        <v>5</v>
      </c>
      <c r="Y34">
        <v>220</v>
      </c>
      <c r="Z34">
        <v>160</v>
      </c>
      <c r="AA34"/>
      <c r="AB34"/>
      <c r="AC34"/>
      <c r="AD34"/>
      <c r="AE34"/>
      <c r="AF34"/>
      <c r="AG34"/>
      <c r="AH34"/>
      <c r="AI34"/>
      <c r="AJ34"/>
      <c r="AK34"/>
      <c r="AL34"/>
      <c r="AM34"/>
      <c r="AN34" t="str">
        <f t="shared" si="15"/>
        <v>2HeavyMediumHeavy60</v>
      </c>
      <c r="AO34">
        <v>2</v>
      </c>
      <c r="AP34" t="s">
        <v>37</v>
      </c>
      <c r="AQ34" t="s">
        <v>36</v>
      </c>
      <c r="AR34" t="s">
        <v>37</v>
      </c>
      <c r="AS34">
        <v>60</v>
      </c>
      <c r="AT34">
        <v>27</v>
      </c>
      <c r="AU34">
        <v>23</v>
      </c>
      <c r="AV34"/>
      <c r="AW34" t="str">
        <f t="shared" si="16"/>
        <v>2HeavyLightLightLight60</v>
      </c>
      <c r="AX34">
        <v>2</v>
      </c>
      <c r="AY34" t="s">
        <v>37</v>
      </c>
      <c r="AZ34" t="s">
        <v>20</v>
      </c>
      <c r="BA34" t="s">
        <v>20</v>
      </c>
      <c r="BB34" t="s">
        <v>20</v>
      </c>
      <c r="BC34">
        <v>60</v>
      </c>
      <c r="BD34">
        <v>32</v>
      </c>
      <c r="BE34">
        <v>30</v>
      </c>
      <c r="BF34">
        <v>22</v>
      </c>
      <c r="BG34"/>
      <c r="BH34" t="str">
        <f t="shared" si="10"/>
        <v>2HeavyMediumHeavy60</v>
      </c>
      <c r="BI34">
        <v>2</v>
      </c>
      <c r="BJ34" t="s">
        <v>37</v>
      </c>
      <c r="BK34" t="s">
        <v>36</v>
      </c>
      <c r="BL34" t="s">
        <v>37</v>
      </c>
      <c r="BM34">
        <v>60</v>
      </c>
      <c r="BN34">
        <v>16</v>
      </c>
      <c r="BO34">
        <v>29</v>
      </c>
      <c r="BP34">
        <v>21</v>
      </c>
      <c r="BQ34"/>
      <c r="BR34"/>
      <c r="BS34">
        <v>3</v>
      </c>
      <c r="BT34" t="s">
        <v>37</v>
      </c>
      <c r="BU34" t="s">
        <v>36</v>
      </c>
      <c r="BV34" t="s">
        <v>37</v>
      </c>
      <c r="BW34">
        <v>60</v>
      </c>
      <c r="BX34">
        <v>28</v>
      </c>
      <c r="BY34">
        <v>23</v>
      </c>
      <c r="BZ34"/>
      <c r="CA34"/>
      <c r="CB34">
        <v>3</v>
      </c>
      <c r="CC34" t="s">
        <v>37</v>
      </c>
      <c r="CD34" t="s">
        <v>20</v>
      </c>
      <c r="CE34" t="s">
        <v>20</v>
      </c>
      <c r="CF34" t="s">
        <v>20</v>
      </c>
      <c r="CG34">
        <v>60</v>
      </c>
      <c r="CH34">
        <v>35</v>
      </c>
      <c r="CI34">
        <v>33</v>
      </c>
      <c r="CJ34">
        <v>23</v>
      </c>
      <c r="CK34"/>
      <c r="CL34"/>
      <c r="CM34">
        <v>3</v>
      </c>
      <c r="CN34" t="s">
        <v>37</v>
      </c>
      <c r="CO34" t="s">
        <v>36</v>
      </c>
      <c r="CP34" t="s">
        <v>37</v>
      </c>
      <c r="CQ34">
        <v>45</v>
      </c>
      <c r="CR34">
        <v>12</v>
      </c>
      <c r="CS34">
        <v>27</v>
      </c>
      <c r="CT34">
        <v>17</v>
      </c>
      <c r="CU34"/>
      <c r="CV34"/>
      <c r="CW34"/>
      <c r="CX34"/>
      <c r="CY34"/>
    </row>
    <row r="35" spans="1:103" ht="15" customHeight="1" x14ac:dyDescent="0.25">
      <c r="A35" s="55" t="s">
        <v>32</v>
      </c>
      <c r="B35" s="55"/>
      <c r="C35" s="130" t="s">
        <v>24</v>
      </c>
      <c r="D35" s="131"/>
      <c r="E35" s="132"/>
      <c r="F35" s="56" t="s">
        <v>23</v>
      </c>
      <c r="G35" s="56"/>
      <c r="H35" s="56"/>
      <c r="I35" s="74" t="str">
        <f>IF(IFERROR(C36,0)," ","Out of Scope, check roof Height above Eaves.")</f>
        <v xml:space="preserve"> </v>
      </c>
      <c r="J35" s="75"/>
      <c r="K35" s="75"/>
      <c r="L35" s="75"/>
      <c r="M35" s="76"/>
      <c r="N35"/>
      <c r="O35"/>
      <c r="P35"/>
      <c r="Q35"/>
      <c r="R35"/>
      <c r="S35"/>
      <c r="T35"/>
      <c r="U35"/>
      <c r="V35" t="str">
        <f t="shared" si="12"/>
        <v>106</v>
      </c>
      <c r="W35">
        <v>10</v>
      </c>
      <c r="X35">
        <v>6</v>
      </c>
      <c r="Y35">
        <v>220</v>
      </c>
      <c r="Z35">
        <v>150</v>
      </c>
      <c r="AA35"/>
      <c r="AB35"/>
      <c r="AC35"/>
      <c r="AD35"/>
      <c r="AE35"/>
      <c r="AF35"/>
      <c r="AG35"/>
      <c r="AH35"/>
      <c r="AI35"/>
      <c r="AJ35"/>
      <c r="AK35"/>
      <c r="AL35"/>
      <c r="AM35"/>
      <c r="AN35" t="str">
        <f t="shared" si="15"/>
        <v>2HeavyHeavyHeavy25</v>
      </c>
      <c r="AO35">
        <v>2</v>
      </c>
      <c r="AP35" t="s">
        <v>37</v>
      </c>
      <c r="AQ35" t="s">
        <v>37</v>
      </c>
      <c r="AR35" t="s">
        <v>37</v>
      </c>
      <c r="AS35">
        <v>25</v>
      </c>
      <c r="AT35">
        <v>31</v>
      </c>
      <c r="AU35">
        <v>23</v>
      </c>
      <c r="AV35"/>
      <c r="AW35" t="str">
        <f t="shared" si="16"/>
        <v>2HeavyLightLightMedium25</v>
      </c>
      <c r="AX35">
        <v>2</v>
      </c>
      <c r="AY35" t="s">
        <v>37</v>
      </c>
      <c r="AZ35" t="s">
        <v>20</v>
      </c>
      <c r="BA35" t="s">
        <v>20</v>
      </c>
      <c r="BB35" t="s">
        <v>36</v>
      </c>
      <c r="BC35">
        <v>25</v>
      </c>
      <c r="BD35">
        <v>27</v>
      </c>
      <c r="BE35">
        <v>25</v>
      </c>
      <c r="BF35">
        <v>16</v>
      </c>
      <c r="BG35"/>
      <c r="BH35" t="str">
        <f t="shared" si="10"/>
        <v>2HeavyHeavyHeavy25</v>
      </c>
      <c r="BI35">
        <v>2</v>
      </c>
      <c r="BJ35" t="s">
        <v>37</v>
      </c>
      <c r="BK35" t="s">
        <v>37</v>
      </c>
      <c r="BL35" t="s">
        <v>37</v>
      </c>
      <c r="BM35">
        <v>25</v>
      </c>
      <c r="BN35">
        <v>13</v>
      </c>
      <c r="BO35">
        <v>37</v>
      </c>
      <c r="BP35">
        <v>20</v>
      </c>
      <c r="BQ35"/>
      <c r="BR35"/>
      <c r="BS35">
        <v>3</v>
      </c>
      <c r="BT35" t="s">
        <v>37</v>
      </c>
      <c r="BU35" t="s">
        <v>37</v>
      </c>
      <c r="BV35" t="s">
        <v>37</v>
      </c>
      <c r="BW35">
        <v>25</v>
      </c>
      <c r="BX35">
        <v>33</v>
      </c>
      <c r="BY35">
        <v>23</v>
      </c>
      <c r="BZ35"/>
      <c r="CA35"/>
      <c r="CB35">
        <v>3</v>
      </c>
      <c r="CC35" t="s">
        <v>37</v>
      </c>
      <c r="CD35" t="s">
        <v>20</v>
      </c>
      <c r="CE35" t="s">
        <v>20</v>
      </c>
      <c r="CF35" t="s">
        <v>36</v>
      </c>
      <c r="CG35">
        <v>25</v>
      </c>
      <c r="CH35">
        <v>30</v>
      </c>
      <c r="CI35">
        <v>27</v>
      </c>
      <c r="CJ35">
        <v>17</v>
      </c>
      <c r="CK35"/>
      <c r="CL35"/>
      <c r="CM35">
        <v>3</v>
      </c>
      <c r="CN35" t="s">
        <v>37</v>
      </c>
      <c r="CO35" t="s">
        <v>36</v>
      </c>
      <c r="CP35" t="s">
        <v>37</v>
      </c>
      <c r="CQ35">
        <v>60</v>
      </c>
      <c r="CR35">
        <v>16</v>
      </c>
      <c r="CS35">
        <v>30</v>
      </c>
      <c r="CT35">
        <v>21</v>
      </c>
      <c r="CU35"/>
      <c r="CV35"/>
      <c r="CW35"/>
      <c r="CX35"/>
      <c r="CY35"/>
    </row>
    <row r="36" spans="1:103" ht="15" customHeight="1" x14ac:dyDescent="0.25">
      <c r="A36" s="55"/>
      <c r="B36" s="55"/>
      <c r="C36" s="57">
        <f>VLOOKUP(U7,AB2:AF30,5,FALSE)*C21*C11</f>
        <v>650</v>
      </c>
      <c r="D36" s="57"/>
      <c r="E36" s="57"/>
      <c r="F36" s="57">
        <f>VLOOKUP(U7,AB2:AF30,4,FALSE)*C21*C10</f>
        <v>1537.5</v>
      </c>
      <c r="G36" s="57"/>
      <c r="H36" s="57"/>
      <c r="I36" s="77"/>
      <c r="J36" s="78"/>
      <c r="K36" s="78"/>
      <c r="L36" s="78"/>
      <c r="M36" s="79"/>
      <c r="N36"/>
      <c r="O36"/>
      <c r="P36"/>
      <c r="Q36"/>
      <c r="R36"/>
      <c r="S36"/>
      <c r="T36"/>
      <c r="U36"/>
      <c r="V36" t="str">
        <f t="shared" si="12"/>
        <v>107</v>
      </c>
      <c r="W36">
        <v>10</v>
      </c>
      <c r="X36">
        <v>7</v>
      </c>
      <c r="Y36">
        <v>220</v>
      </c>
      <c r="Z36">
        <v>140</v>
      </c>
      <c r="AA36"/>
      <c r="AB36"/>
      <c r="AC36"/>
      <c r="AD36"/>
      <c r="AE36"/>
      <c r="AF36"/>
      <c r="AG36"/>
      <c r="AH36"/>
      <c r="AI36"/>
      <c r="AJ36"/>
      <c r="AK36"/>
      <c r="AL36"/>
      <c r="AM36"/>
      <c r="AN36" t="str">
        <f t="shared" si="15"/>
        <v>2HeavyHeavyHeavy45</v>
      </c>
      <c r="AO36">
        <v>2</v>
      </c>
      <c r="AP36" t="s">
        <v>37</v>
      </c>
      <c r="AQ36" t="s">
        <v>37</v>
      </c>
      <c r="AR36" t="s">
        <v>37</v>
      </c>
      <c r="AS36">
        <v>45</v>
      </c>
      <c r="AT36">
        <v>33</v>
      </c>
      <c r="AU36">
        <v>25</v>
      </c>
      <c r="AV36"/>
      <c r="AW36" t="str">
        <f t="shared" si="16"/>
        <v>2HeavyLightLightMedium45</v>
      </c>
      <c r="AX36">
        <v>2</v>
      </c>
      <c r="AY36" t="s">
        <v>37</v>
      </c>
      <c r="AZ36" t="s">
        <v>20</v>
      </c>
      <c r="BA36" t="s">
        <v>20</v>
      </c>
      <c r="BB36" t="s">
        <v>36</v>
      </c>
      <c r="BC36">
        <v>45</v>
      </c>
      <c r="BD36">
        <v>29</v>
      </c>
      <c r="BE36">
        <v>27</v>
      </c>
      <c r="BF36">
        <v>18</v>
      </c>
      <c r="BG36"/>
      <c r="BH36" t="str">
        <f t="shared" si="10"/>
        <v>2HeavyHeavyHeavy45</v>
      </c>
      <c r="BI36">
        <v>2</v>
      </c>
      <c r="BJ36" t="s">
        <v>37</v>
      </c>
      <c r="BK36" t="s">
        <v>37</v>
      </c>
      <c r="BL36" t="s">
        <v>37</v>
      </c>
      <c r="BM36">
        <v>45</v>
      </c>
      <c r="BN36">
        <v>15</v>
      </c>
      <c r="BO36">
        <v>38</v>
      </c>
      <c r="BP36">
        <v>22</v>
      </c>
      <c r="BQ36"/>
      <c r="BR36"/>
      <c r="BS36">
        <v>3</v>
      </c>
      <c r="BT36" t="s">
        <v>37</v>
      </c>
      <c r="BU36" t="s">
        <v>37</v>
      </c>
      <c r="BV36" t="s">
        <v>37</v>
      </c>
      <c r="BW36">
        <v>45</v>
      </c>
      <c r="BX36">
        <v>35</v>
      </c>
      <c r="BY36">
        <v>26</v>
      </c>
      <c r="BZ36"/>
      <c r="CA36"/>
      <c r="CB36">
        <v>3</v>
      </c>
      <c r="CC36" t="s">
        <v>37</v>
      </c>
      <c r="CD36" t="s">
        <v>20</v>
      </c>
      <c r="CE36" t="s">
        <v>20</v>
      </c>
      <c r="CF36" t="s">
        <v>36</v>
      </c>
      <c r="CG36">
        <v>45</v>
      </c>
      <c r="CH36">
        <v>32</v>
      </c>
      <c r="CI36">
        <v>29</v>
      </c>
      <c r="CJ36">
        <v>19</v>
      </c>
      <c r="CK36"/>
      <c r="CL36"/>
      <c r="CM36">
        <v>3</v>
      </c>
      <c r="CN36" t="s">
        <v>37</v>
      </c>
      <c r="CO36" t="s">
        <v>37</v>
      </c>
      <c r="CP36" t="s">
        <v>37</v>
      </c>
      <c r="CQ36">
        <v>25</v>
      </c>
      <c r="CR36">
        <v>13</v>
      </c>
      <c r="CS36">
        <v>38</v>
      </c>
      <c r="CT36">
        <v>20</v>
      </c>
      <c r="CU36"/>
      <c r="CV36"/>
      <c r="CW36"/>
      <c r="CX36"/>
      <c r="CY36"/>
    </row>
    <row r="37" spans="1:103" ht="15" customHeight="1" x14ac:dyDescent="0.25">
      <c r="A37" s="56"/>
      <c r="B37" s="56"/>
      <c r="C37" s="56"/>
      <c r="D37" s="56"/>
      <c r="E37" s="56"/>
      <c r="F37" s="56"/>
      <c r="G37" s="56"/>
      <c r="H37" s="56"/>
      <c r="I37" s="56"/>
      <c r="J37" s="56"/>
      <c r="K37" s="56"/>
      <c r="L37" s="56"/>
      <c r="M37" s="56"/>
      <c r="N37"/>
      <c r="O37"/>
      <c r="P37"/>
      <c r="Q37"/>
      <c r="R37"/>
      <c r="S37"/>
      <c r="T37"/>
      <c r="U37"/>
      <c r="V37"/>
      <c r="W37"/>
      <c r="X37"/>
      <c r="Y37"/>
      <c r="Z37"/>
      <c r="AA37"/>
      <c r="AB37"/>
      <c r="AC37"/>
      <c r="AD37"/>
      <c r="AE37"/>
      <c r="AF37"/>
      <c r="AG37"/>
      <c r="AH37"/>
      <c r="AI37"/>
      <c r="AJ37"/>
      <c r="AK37"/>
      <c r="AL37"/>
      <c r="AM37"/>
      <c r="AN37" t="str">
        <f t="shared" si="15"/>
        <v>2HeavyHeavyHeavy60</v>
      </c>
      <c r="AO37">
        <v>2</v>
      </c>
      <c r="AP37" t="s">
        <v>37</v>
      </c>
      <c r="AQ37" t="s">
        <v>37</v>
      </c>
      <c r="AR37" t="s">
        <v>37</v>
      </c>
      <c r="AS37">
        <v>60</v>
      </c>
      <c r="AT37">
        <v>36</v>
      </c>
      <c r="AU37">
        <v>29</v>
      </c>
      <c r="AV37"/>
      <c r="AW37" t="str">
        <f t="shared" si="16"/>
        <v>2HeavyLightLightMedium60</v>
      </c>
      <c r="AX37">
        <v>2</v>
      </c>
      <c r="AY37" t="s">
        <v>37</v>
      </c>
      <c r="AZ37" t="s">
        <v>20</v>
      </c>
      <c r="BA37" t="s">
        <v>20</v>
      </c>
      <c r="BB37" t="s">
        <v>36</v>
      </c>
      <c r="BC37">
        <v>60</v>
      </c>
      <c r="BD37">
        <v>32</v>
      </c>
      <c r="BE37">
        <v>30</v>
      </c>
      <c r="BF37">
        <v>22</v>
      </c>
      <c r="BG37"/>
      <c r="BH37" t="str">
        <f t="shared" si="10"/>
        <v>2HeavyHeavyHeavy60</v>
      </c>
      <c r="BI37">
        <v>2</v>
      </c>
      <c r="BJ37" t="s">
        <v>37</v>
      </c>
      <c r="BK37" t="s">
        <v>37</v>
      </c>
      <c r="BL37" t="s">
        <v>37</v>
      </c>
      <c r="BM37">
        <v>60</v>
      </c>
      <c r="BN37">
        <v>18</v>
      </c>
      <c r="BO37">
        <v>42</v>
      </c>
      <c r="BP37">
        <v>26</v>
      </c>
      <c r="BQ37"/>
      <c r="BR37"/>
      <c r="BS37">
        <v>3</v>
      </c>
      <c r="BT37" t="s">
        <v>37</v>
      </c>
      <c r="BU37" t="s">
        <v>37</v>
      </c>
      <c r="BV37" t="s">
        <v>37</v>
      </c>
      <c r="BW37">
        <v>60</v>
      </c>
      <c r="BX37">
        <v>38</v>
      </c>
      <c r="BY37">
        <v>29</v>
      </c>
      <c r="BZ37"/>
      <c r="CA37"/>
      <c r="CB37">
        <v>3</v>
      </c>
      <c r="CC37" t="s">
        <v>37</v>
      </c>
      <c r="CD37" t="s">
        <v>20</v>
      </c>
      <c r="CE37" t="s">
        <v>20</v>
      </c>
      <c r="CF37" t="s">
        <v>36</v>
      </c>
      <c r="CG37">
        <v>60</v>
      </c>
      <c r="CH37">
        <v>35</v>
      </c>
      <c r="CI37">
        <v>33</v>
      </c>
      <c r="CJ37">
        <v>23</v>
      </c>
      <c r="CK37"/>
      <c r="CL37"/>
      <c r="CM37">
        <v>3</v>
      </c>
      <c r="CN37" t="s">
        <v>37</v>
      </c>
      <c r="CO37" t="s">
        <v>37</v>
      </c>
      <c r="CP37" t="s">
        <v>37</v>
      </c>
      <c r="CQ37">
        <v>45</v>
      </c>
      <c r="CR37">
        <v>15</v>
      </c>
      <c r="CS37">
        <v>40</v>
      </c>
      <c r="CT37">
        <v>23</v>
      </c>
      <c r="CU37"/>
      <c r="CV37"/>
      <c r="CW37"/>
      <c r="CX37"/>
      <c r="CY37"/>
    </row>
    <row r="38" spans="1:103" ht="15" customHeight="1" x14ac:dyDescent="0.25">
      <c r="A38" s="55" t="s">
        <v>157</v>
      </c>
      <c r="B38" s="55"/>
      <c r="C38" s="56" t="s">
        <v>24</v>
      </c>
      <c r="D38" s="56"/>
      <c r="E38" s="56"/>
      <c r="F38" s="56" t="s">
        <v>23</v>
      </c>
      <c r="G38" s="56"/>
      <c r="H38" s="56"/>
      <c r="I38" s="80" t="str">
        <f>IF(IFERROR(C39,0)," ","Out of Scope, check roof Height above Eaves.")</f>
        <v xml:space="preserve"> </v>
      </c>
      <c r="J38" s="81"/>
      <c r="K38" s="81"/>
      <c r="L38" s="81"/>
      <c r="M38" s="82"/>
      <c r="N38"/>
      <c r="O38"/>
      <c r="P38"/>
      <c r="Q38"/>
      <c r="R38"/>
      <c r="S38" s="5"/>
      <c r="T38" s="5"/>
      <c r="U38" s="5"/>
      <c r="V38" s="5"/>
      <c r="W38" s="5"/>
      <c r="X38" s="6"/>
      <c r="Y38"/>
      <c r="Z38"/>
      <c r="AA38"/>
      <c r="AB38"/>
      <c r="AC38"/>
      <c r="AD38"/>
      <c r="AE38"/>
      <c r="AF38"/>
      <c r="AG38"/>
      <c r="AH38"/>
      <c r="AI38"/>
      <c r="AJ38"/>
      <c r="AK38"/>
      <c r="AL38"/>
      <c r="AM38"/>
      <c r="AN38" t="str">
        <f t="shared" si="15"/>
        <v>3LightLightLight25</v>
      </c>
      <c r="AO38">
        <v>3</v>
      </c>
      <c r="AP38" t="s">
        <v>20</v>
      </c>
      <c r="AQ38" t="s">
        <v>20</v>
      </c>
      <c r="AR38" t="s">
        <v>20</v>
      </c>
      <c r="AS38">
        <v>25</v>
      </c>
      <c r="AT38">
        <v>17</v>
      </c>
      <c r="AU38">
        <v>11</v>
      </c>
      <c r="AV38"/>
      <c r="AW38" t="str">
        <f t="shared" si="16"/>
        <v>2HeavyLightLightHeavy25</v>
      </c>
      <c r="AX38">
        <v>2</v>
      </c>
      <c r="AY38" t="s">
        <v>37</v>
      </c>
      <c r="AZ38" t="s">
        <v>20</v>
      </c>
      <c r="BA38" t="s">
        <v>20</v>
      </c>
      <c r="BB38" t="s">
        <v>37</v>
      </c>
      <c r="BC38">
        <v>25</v>
      </c>
      <c r="BD38">
        <v>27</v>
      </c>
      <c r="BE38">
        <v>25</v>
      </c>
      <c r="BF38">
        <v>16</v>
      </c>
      <c r="BG38"/>
      <c r="BH38" t="str">
        <f t="shared" ref="BH38:BH73" si="17">BI38&amp;BJ38&amp;BK38&amp;BL38&amp;BM38</f>
        <v>3LightLightLight25</v>
      </c>
      <c r="BI38">
        <v>3</v>
      </c>
      <c r="BJ38" t="s">
        <v>20</v>
      </c>
      <c r="BK38" t="s">
        <v>20</v>
      </c>
      <c r="BL38" t="s">
        <v>20</v>
      </c>
      <c r="BM38">
        <v>25</v>
      </c>
      <c r="BN38">
        <v>6</v>
      </c>
      <c r="BO38">
        <v>17</v>
      </c>
      <c r="BP38">
        <v>9</v>
      </c>
      <c r="BQ38"/>
      <c r="BR38"/>
      <c r="BS38"/>
      <c r="BT38"/>
      <c r="BU38"/>
      <c r="BV38"/>
      <c r="BW38"/>
      <c r="BX38"/>
      <c r="BY38"/>
      <c r="BZ38"/>
      <c r="CA38"/>
      <c r="CB38">
        <v>3</v>
      </c>
      <c r="CC38" t="s">
        <v>37</v>
      </c>
      <c r="CD38" t="s">
        <v>20</v>
      </c>
      <c r="CE38" t="s">
        <v>20</v>
      </c>
      <c r="CF38" t="s">
        <v>37</v>
      </c>
      <c r="CG38">
        <v>25</v>
      </c>
      <c r="CH38">
        <v>30</v>
      </c>
      <c r="CI38">
        <v>27</v>
      </c>
      <c r="CJ38">
        <v>17</v>
      </c>
      <c r="CK38"/>
      <c r="CL38"/>
      <c r="CM38">
        <v>3</v>
      </c>
      <c r="CN38" t="s">
        <v>37</v>
      </c>
      <c r="CO38" t="s">
        <v>37</v>
      </c>
      <c r="CP38" t="s">
        <v>37</v>
      </c>
      <c r="CQ38">
        <v>60</v>
      </c>
      <c r="CR38">
        <v>18</v>
      </c>
      <c r="CS38">
        <v>43</v>
      </c>
      <c r="CT38">
        <v>26</v>
      </c>
      <c r="CU38"/>
      <c r="CV38"/>
      <c r="CW38"/>
      <c r="CX38"/>
      <c r="CY38"/>
    </row>
    <row r="39" spans="1:103" ht="15" customHeight="1" x14ac:dyDescent="0.25">
      <c r="A39" s="55"/>
      <c r="B39" s="55"/>
      <c r="C39" s="57">
        <f>VLOOKUP(U10,AB2:AF30,5,FALSE)*C21*C11</f>
        <v>550</v>
      </c>
      <c r="D39" s="57"/>
      <c r="E39" s="57"/>
      <c r="F39" s="127">
        <f>VLOOKUP(U10,AB2:AF30,4,FALSE)*C21*C10</f>
        <v>1230</v>
      </c>
      <c r="G39" s="128"/>
      <c r="H39" s="129"/>
      <c r="I39" s="83"/>
      <c r="J39" s="84"/>
      <c r="K39" s="84"/>
      <c r="L39" s="84"/>
      <c r="M39" s="85"/>
      <c r="N39"/>
      <c r="O39"/>
      <c r="P39"/>
      <c r="Q39"/>
      <c r="R39"/>
      <c r="S39" s="5"/>
      <c r="T39" s="5"/>
      <c r="U39" s="5"/>
      <c r="V39" s="5"/>
      <c r="W39" s="5"/>
      <c r="X39" s="6"/>
      <c r="Y39"/>
      <c r="Z39"/>
      <c r="AA39"/>
      <c r="AB39"/>
      <c r="AC39"/>
      <c r="AD39"/>
      <c r="AE39"/>
      <c r="AF39"/>
      <c r="AG39"/>
      <c r="AH39"/>
      <c r="AI39"/>
      <c r="AJ39"/>
      <c r="AK39"/>
      <c r="AL39"/>
      <c r="AM39"/>
      <c r="AN39" t="str">
        <f t="shared" si="15"/>
        <v>3LightLightLight45</v>
      </c>
      <c r="AO39">
        <v>3</v>
      </c>
      <c r="AP39" t="s">
        <v>20</v>
      </c>
      <c r="AQ39" t="s">
        <v>20</v>
      </c>
      <c r="AR39" t="s">
        <v>20</v>
      </c>
      <c r="AS39">
        <v>45</v>
      </c>
      <c r="AT39">
        <v>17</v>
      </c>
      <c r="AU39">
        <v>12</v>
      </c>
      <c r="AV39"/>
      <c r="AW39" t="str">
        <f t="shared" si="16"/>
        <v>2HeavyLightLightHeavy45</v>
      </c>
      <c r="AX39">
        <v>2</v>
      </c>
      <c r="AY39" t="s">
        <v>37</v>
      </c>
      <c r="AZ39" t="s">
        <v>20</v>
      </c>
      <c r="BA39" t="s">
        <v>20</v>
      </c>
      <c r="BB39" t="s">
        <v>37</v>
      </c>
      <c r="BC39">
        <v>45</v>
      </c>
      <c r="BD39">
        <v>29</v>
      </c>
      <c r="BE39">
        <v>27</v>
      </c>
      <c r="BF39">
        <v>18</v>
      </c>
      <c r="BG39"/>
      <c r="BH39" t="str">
        <f t="shared" si="17"/>
        <v>3LightLightLight45</v>
      </c>
      <c r="BI39">
        <v>3</v>
      </c>
      <c r="BJ39" t="s">
        <v>20</v>
      </c>
      <c r="BK39" t="s">
        <v>20</v>
      </c>
      <c r="BL39" t="s">
        <v>20</v>
      </c>
      <c r="BM39">
        <v>45</v>
      </c>
      <c r="BN39">
        <v>6</v>
      </c>
      <c r="BO39">
        <v>17</v>
      </c>
      <c r="BP39">
        <v>10</v>
      </c>
      <c r="BQ39"/>
      <c r="BR39"/>
      <c r="BS39"/>
      <c r="BT39"/>
      <c r="BU39"/>
      <c r="BV39"/>
      <c r="BW39"/>
      <c r="BX39"/>
      <c r="BY39"/>
      <c r="BZ39"/>
      <c r="CA39"/>
      <c r="CB39">
        <v>3</v>
      </c>
      <c r="CC39" t="s">
        <v>37</v>
      </c>
      <c r="CD39" t="s">
        <v>20</v>
      </c>
      <c r="CE39" t="s">
        <v>20</v>
      </c>
      <c r="CF39" t="s">
        <v>37</v>
      </c>
      <c r="CG39">
        <v>45</v>
      </c>
      <c r="CH39">
        <v>32</v>
      </c>
      <c r="CI39">
        <v>29</v>
      </c>
      <c r="CJ39">
        <v>19</v>
      </c>
      <c r="CK39"/>
      <c r="CL39"/>
      <c r="CM39"/>
      <c r="CN39"/>
      <c r="CO39"/>
      <c r="CP39"/>
      <c r="CQ39"/>
      <c r="CR39"/>
      <c r="CS39"/>
      <c r="CT39"/>
      <c r="CU39"/>
      <c r="CV39"/>
      <c r="CW39"/>
      <c r="CX39"/>
      <c r="CY39"/>
    </row>
    <row r="40" spans="1:103" ht="15" customHeight="1" x14ac:dyDescent="0.25">
      <c r="A40" s="56"/>
      <c r="B40" s="56"/>
      <c r="C40" s="56"/>
      <c r="D40" s="56"/>
      <c r="E40" s="56"/>
      <c r="F40" s="56"/>
      <c r="G40" s="56"/>
      <c r="H40" s="56"/>
      <c r="I40" s="56"/>
      <c r="J40" s="56"/>
      <c r="K40" s="56"/>
      <c r="L40" s="56"/>
      <c r="M40" s="56"/>
      <c r="N40"/>
      <c r="O40"/>
      <c r="P40"/>
      <c r="Q40"/>
      <c r="R40"/>
      <c r="S40"/>
      <c r="T40"/>
      <c r="U40"/>
      <c r="V40"/>
      <c r="W40"/>
      <c r="X40"/>
      <c r="Y40"/>
      <c r="Z40"/>
      <c r="AA40"/>
      <c r="AB40"/>
      <c r="AC40"/>
      <c r="AD40"/>
      <c r="AE40"/>
      <c r="AF40"/>
      <c r="AG40"/>
      <c r="AH40"/>
      <c r="AI40"/>
      <c r="AJ40"/>
      <c r="AK40"/>
      <c r="AL40"/>
      <c r="AM40"/>
      <c r="AN40" t="str">
        <f t="shared" si="15"/>
        <v>3LightLightLight60</v>
      </c>
      <c r="AO40">
        <v>3</v>
      </c>
      <c r="AP40" t="s">
        <v>20</v>
      </c>
      <c r="AQ40" t="s">
        <v>20</v>
      </c>
      <c r="AR40" t="s">
        <v>20</v>
      </c>
      <c r="AS40">
        <v>60</v>
      </c>
      <c r="AT40">
        <v>18</v>
      </c>
      <c r="AU40">
        <v>13</v>
      </c>
      <c r="AV40"/>
      <c r="AW40" t="str">
        <f t="shared" si="16"/>
        <v>2HeavyLightLightHeavy60</v>
      </c>
      <c r="AX40">
        <v>2</v>
      </c>
      <c r="AY40" t="s">
        <v>37</v>
      </c>
      <c r="AZ40" t="s">
        <v>20</v>
      </c>
      <c r="BA40" t="s">
        <v>20</v>
      </c>
      <c r="BB40" t="s">
        <v>37</v>
      </c>
      <c r="BC40">
        <v>60</v>
      </c>
      <c r="BD40">
        <v>32</v>
      </c>
      <c r="BE40">
        <v>30</v>
      </c>
      <c r="BF40">
        <v>22</v>
      </c>
      <c r="BG40"/>
      <c r="BH40" t="str">
        <f t="shared" si="17"/>
        <v>3LightLightLight60</v>
      </c>
      <c r="BI40">
        <v>3</v>
      </c>
      <c r="BJ40" t="s">
        <v>20</v>
      </c>
      <c r="BK40" t="s">
        <v>20</v>
      </c>
      <c r="BL40" t="s">
        <v>20</v>
      </c>
      <c r="BM40">
        <v>60</v>
      </c>
      <c r="BN40">
        <v>7</v>
      </c>
      <c r="BO40">
        <v>18</v>
      </c>
      <c r="BP40">
        <v>11</v>
      </c>
      <c r="BQ40"/>
      <c r="BR40"/>
      <c r="BS40"/>
      <c r="BT40"/>
      <c r="BU40"/>
      <c r="BV40"/>
      <c r="BW40"/>
      <c r="BX40"/>
      <c r="BY40"/>
      <c r="BZ40"/>
      <c r="CA40"/>
      <c r="CB40">
        <v>3</v>
      </c>
      <c r="CC40" t="s">
        <v>37</v>
      </c>
      <c r="CD40" t="s">
        <v>20</v>
      </c>
      <c r="CE40" t="s">
        <v>20</v>
      </c>
      <c r="CF40" t="s">
        <v>37</v>
      </c>
      <c r="CG40">
        <v>60</v>
      </c>
      <c r="CH40">
        <v>35</v>
      </c>
      <c r="CI40">
        <v>33</v>
      </c>
      <c r="CJ40">
        <v>23</v>
      </c>
      <c r="CK40"/>
      <c r="CL40"/>
      <c r="CM40"/>
      <c r="CN40"/>
      <c r="CO40"/>
      <c r="CP40"/>
      <c r="CQ40"/>
      <c r="CR40"/>
      <c r="CS40"/>
      <c r="CT40"/>
      <c r="CU40"/>
      <c r="CV40"/>
      <c r="CW40"/>
      <c r="CX40"/>
      <c r="CY40"/>
    </row>
    <row r="41" spans="1:103" ht="15" customHeight="1" x14ac:dyDescent="0.25">
      <c r="A41" s="55" t="s">
        <v>156</v>
      </c>
      <c r="B41" s="55"/>
      <c r="C41" s="56" t="s">
        <v>24</v>
      </c>
      <c r="D41" s="56"/>
      <c r="E41" s="56"/>
      <c r="F41" s="56" t="s">
        <v>23</v>
      </c>
      <c r="G41" s="56"/>
      <c r="H41" s="56"/>
      <c r="I41" s="66" t="str">
        <f>IF(IFERROR(C42,0)," ","Out of Scope, check roof Height above Eaves.")</f>
        <v>Out of Scope, check roof Height above Eaves.</v>
      </c>
      <c r="J41" s="67"/>
      <c r="K41" s="67"/>
      <c r="L41" s="67"/>
      <c r="M41" s="68"/>
      <c r="N41"/>
      <c r="O41"/>
      <c r="P41"/>
      <c r="Q41"/>
      <c r="R41"/>
      <c r="S41"/>
      <c r="T41"/>
      <c r="U41"/>
      <c r="V41"/>
      <c r="W41"/>
      <c r="X41"/>
      <c r="Y41"/>
      <c r="Z41"/>
      <c r="AA41"/>
      <c r="AB41"/>
      <c r="AC41"/>
      <c r="AD41"/>
      <c r="AE41"/>
      <c r="AF41"/>
      <c r="AG41"/>
      <c r="AH41"/>
      <c r="AI41"/>
      <c r="AJ41"/>
      <c r="AK41"/>
      <c r="AL41"/>
      <c r="AM41"/>
      <c r="AN41" t="str">
        <f t="shared" si="15"/>
        <v>3LightLightMedium25</v>
      </c>
      <c r="AO41">
        <v>3</v>
      </c>
      <c r="AP41" t="s">
        <v>20</v>
      </c>
      <c r="AQ41" t="s">
        <v>20</v>
      </c>
      <c r="AR41" t="s">
        <v>36</v>
      </c>
      <c r="AS41">
        <v>25</v>
      </c>
      <c r="AT41">
        <v>17</v>
      </c>
      <c r="AU41">
        <v>11</v>
      </c>
      <c r="AV41"/>
      <c r="AW41" t="str">
        <f t="shared" si="16"/>
        <v>2HeavyLightMediumMedium25</v>
      </c>
      <c r="AX41">
        <v>2</v>
      </c>
      <c r="AY41" t="s">
        <v>37</v>
      </c>
      <c r="AZ41" t="s">
        <v>20</v>
      </c>
      <c r="BA41" t="s">
        <v>36</v>
      </c>
      <c r="BB41" t="s">
        <v>36</v>
      </c>
      <c r="BC41">
        <v>25</v>
      </c>
      <c r="BD41">
        <v>30</v>
      </c>
      <c r="BE41">
        <v>28</v>
      </c>
      <c r="BF41">
        <v>17</v>
      </c>
      <c r="BG41"/>
      <c r="BH41" t="str">
        <f t="shared" si="17"/>
        <v>3LightLightMedium25</v>
      </c>
      <c r="BI41">
        <v>3</v>
      </c>
      <c r="BJ41" t="s">
        <v>20</v>
      </c>
      <c r="BK41" t="s">
        <v>20</v>
      </c>
      <c r="BL41" t="s">
        <v>36</v>
      </c>
      <c r="BM41">
        <v>25</v>
      </c>
      <c r="BN41" s="1" t="s">
        <v>69</v>
      </c>
      <c r="BO41">
        <v>19</v>
      </c>
      <c r="BP41">
        <v>9</v>
      </c>
      <c r="BQ41"/>
      <c r="BR41"/>
      <c r="BS41"/>
      <c r="BT41"/>
      <c r="BU41"/>
      <c r="BV41"/>
      <c r="BW41"/>
      <c r="BX41"/>
      <c r="BY41"/>
      <c r="BZ41"/>
      <c r="CA41"/>
      <c r="CB41">
        <v>3</v>
      </c>
      <c r="CC41" t="s">
        <v>37</v>
      </c>
      <c r="CD41" t="s">
        <v>20</v>
      </c>
      <c r="CE41" t="s">
        <v>36</v>
      </c>
      <c r="CF41" t="s">
        <v>36</v>
      </c>
      <c r="CG41">
        <v>25</v>
      </c>
      <c r="CH41">
        <v>33</v>
      </c>
      <c r="CI41">
        <v>30</v>
      </c>
      <c r="CJ41">
        <v>18</v>
      </c>
      <c r="CK41"/>
      <c r="CL41"/>
      <c r="CM41"/>
      <c r="CN41"/>
      <c r="CO41"/>
      <c r="CP41"/>
      <c r="CQ41"/>
      <c r="CR41"/>
      <c r="CS41"/>
      <c r="CT41"/>
      <c r="CU41"/>
      <c r="CV41"/>
      <c r="CW41"/>
      <c r="CX41"/>
      <c r="CY41"/>
    </row>
    <row r="42" spans="1:103" ht="15" customHeight="1" x14ac:dyDescent="0.25">
      <c r="A42" s="55"/>
      <c r="B42" s="55"/>
      <c r="C42" s="57" t="e">
        <f>VLOOKUP(U9,AH2:AL31,5,FALSE)*C21*C11</f>
        <v>#N/A</v>
      </c>
      <c r="D42" s="57"/>
      <c r="E42" s="57"/>
      <c r="F42" s="57" t="e">
        <f>VLOOKUP(U9,AH2:AL31,4,FALSE)*C21*C10</f>
        <v>#N/A</v>
      </c>
      <c r="G42" s="57"/>
      <c r="H42" s="57"/>
      <c r="I42" s="69"/>
      <c r="J42" s="70"/>
      <c r="K42" s="70"/>
      <c r="L42" s="70"/>
      <c r="M42" s="71"/>
      <c r="N42"/>
      <c r="O42"/>
      <c r="P42"/>
      <c r="Q42"/>
      <c r="R42"/>
      <c r="S42"/>
      <c r="T42"/>
      <c r="U42"/>
      <c r="V42"/>
      <c r="W42"/>
      <c r="X42"/>
      <c r="Y42"/>
      <c r="Z42"/>
      <c r="AA42"/>
      <c r="AB42"/>
      <c r="AC42"/>
      <c r="AD42"/>
      <c r="AE42"/>
      <c r="AF42"/>
      <c r="AG42"/>
      <c r="AH42"/>
      <c r="AI42"/>
      <c r="AJ42"/>
      <c r="AK42"/>
      <c r="AL42"/>
      <c r="AM42"/>
      <c r="AN42" t="str">
        <f t="shared" si="15"/>
        <v>3LightLightMedium45</v>
      </c>
      <c r="AO42">
        <v>3</v>
      </c>
      <c r="AP42" t="s">
        <v>20</v>
      </c>
      <c r="AQ42" t="s">
        <v>20</v>
      </c>
      <c r="AR42" t="s">
        <v>36</v>
      </c>
      <c r="AS42">
        <v>45</v>
      </c>
      <c r="AT42">
        <v>17</v>
      </c>
      <c r="AU42">
        <v>12</v>
      </c>
      <c r="AV42"/>
      <c r="AW42" t="str">
        <f t="shared" si="16"/>
        <v>2HeavyLightMediumMedium45</v>
      </c>
      <c r="AX42">
        <v>2</v>
      </c>
      <c r="AY42" t="s">
        <v>37</v>
      </c>
      <c r="AZ42" t="s">
        <v>20</v>
      </c>
      <c r="BA42" t="s">
        <v>36</v>
      </c>
      <c r="BB42" t="s">
        <v>36</v>
      </c>
      <c r="BC42">
        <v>45</v>
      </c>
      <c r="BD42">
        <v>32</v>
      </c>
      <c r="BE42">
        <v>29</v>
      </c>
      <c r="BF42">
        <v>19</v>
      </c>
      <c r="BG42"/>
      <c r="BH42" t="str">
        <f t="shared" si="17"/>
        <v>3LightLightMedium45</v>
      </c>
      <c r="BI42">
        <v>3</v>
      </c>
      <c r="BJ42" t="s">
        <v>20</v>
      </c>
      <c r="BK42" t="s">
        <v>20</v>
      </c>
      <c r="BL42" t="s">
        <v>36</v>
      </c>
      <c r="BM42">
        <v>45</v>
      </c>
      <c r="BN42" s="1" t="s">
        <v>69</v>
      </c>
      <c r="BO42">
        <v>19</v>
      </c>
      <c r="BP42">
        <v>10</v>
      </c>
      <c r="BQ42"/>
      <c r="BR42"/>
      <c r="BS42"/>
      <c r="BT42"/>
      <c r="BU42"/>
      <c r="BV42"/>
      <c r="BW42"/>
      <c r="BX42"/>
      <c r="BY42"/>
      <c r="BZ42"/>
      <c r="CA42"/>
      <c r="CB42">
        <v>3</v>
      </c>
      <c r="CC42" t="s">
        <v>37</v>
      </c>
      <c r="CD42" t="s">
        <v>20</v>
      </c>
      <c r="CE42" t="s">
        <v>36</v>
      </c>
      <c r="CF42" t="s">
        <v>36</v>
      </c>
      <c r="CG42">
        <v>45</v>
      </c>
      <c r="CH42">
        <v>35</v>
      </c>
      <c r="CI42">
        <v>32</v>
      </c>
      <c r="CJ42">
        <v>20</v>
      </c>
      <c r="CK42"/>
      <c r="CL42"/>
      <c r="CM42"/>
      <c r="CN42"/>
      <c r="CO42"/>
      <c r="CP42"/>
      <c r="CQ42"/>
      <c r="CR42"/>
      <c r="CS42"/>
      <c r="CT42"/>
      <c r="CU42"/>
      <c r="CV42"/>
      <c r="CW42"/>
      <c r="CX42"/>
      <c r="CY42"/>
    </row>
    <row r="43" spans="1:103" ht="15" customHeight="1" x14ac:dyDescent="0.25">
      <c r="A43" s="102" t="s">
        <v>150</v>
      </c>
      <c r="B43" s="102"/>
      <c r="C43" s="102"/>
      <c r="D43" s="102"/>
      <c r="E43" s="102"/>
      <c r="F43" s="102"/>
      <c r="G43" s="102"/>
      <c r="H43" s="102"/>
      <c r="I43" s="102"/>
      <c r="J43" s="102"/>
      <c r="K43" s="102"/>
      <c r="L43" s="102"/>
      <c r="M43" s="102"/>
      <c r="N43"/>
      <c r="O43"/>
      <c r="P43"/>
      <c r="Q43"/>
      <c r="R43"/>
      <c r="S43"/>
      <c r="T43"/>
      <c r="U43"/>
      <c r="V43"/>
      <c r="W43"/>
      <c r="X43"/>
      <c r="Y43"/>
      <c r="Z43"/>
      <c r="AA43"/>
      <c r="AB43"/>
      <c r="AC43"/>
      <c r="AD43"/>
      <c r="AE43"/>
      <c r="AF43"/>
      <c r="AG43"/>
      <c r="AH43"/>
      <c r="AI43"/>
      <c r="AJ43"/>
      <c r="AK43"/>
      <c r="AL43"/>
      <c r="AM43"/>
      <c r="AN43" t="str">
        <f t="shared" si="15"/>
        <v>3LightLightMedium60</v>
      </c>
      <c r="AO43">
        <v>3</v>
      </c>
      <c r="AP43" t="s">
        <v>20</v>
      </c>
      <c r="AQ43" t="s">
        <v>20</v>
      </c>
      <c r="AR43" t="s">
        <v>36</v>
      </c>
      <c r="AS43">
        <v>60</v>
      </c>
      <c r="AT43">
        <v>18</v>
      </c>
      <c r="AU43">
        <v>13</v>
      </c>
      <c r="AV43"/>
      <c r="AW43" t="str">
        <f t="shared" si="16"/>
        <v>2HeavyLightMediumMedium60</v>
      </c>
      <c r="AX43">
        <v>2</v>
      </c>
      <c r="AY43" t="s">
        <v>37</v>
      </c>
      <c r="AZ43" t="s">
        <v>20</v>
      </c>
      <c r="BA43" t="s">
        <v>36</v>
      </c>
      <c r="BB43" t="s">
        <v>36</v>
      </c>
      <c r="BC43">
        <v>60</v>
      </c>
      <c r="BD43">
        <v>35</v>
      </c>
      <c r="BE43">
        <v>33</v>
      </c>
      <c r="BF43">
        <v>23</v>
      </c>
      <c r="BG43"/>
      <c r="BH43" t="str">
        <f t="shared" si="17"/>
        <v>3LightLightMedium60</v>
      </c>
      <c r="BI43">
        <v>3</v>
      </c>
      <c r="BJ43" t="s">
        <v>20</v>
      </c>
      <c r="BK43" t="s">
        <v>20</v>
      </c>
      <c r="BL43" t="s">
        <v>36</v>
      </c>
      <c r="BM43">
        <v>60</v>
      </c>
      <c r="BN43" s="1" t="s">
        <v>69</v>
      </c>
      <c r="BO43">
        <v>20</v>
      </c>
      <c r="BP43">
        <v>11</v>
      </c>
      <c r="BQ43"/>
      <c r="BR43"/>
      <c r="BS43"/>
      <c r="BT43"/>
      <c r="BU43"/>
      <c r="BV43"/>
      <c r="BW43"/>
      <c r="BX43"/>
      <c r="BY43"/>
      <c r="BZ43"/>
      <c r="CA43"/>
      <c r="CB43">
        <v>3</v>
      </c>
      <c r="CC43" t="s">
        <v>37</v>
      </c>
      <c r="CD43" t="s">
        <v>20</v>
      </c>
      <c r="CE43" t="s">
        <v>36</v>
      </c>
      <c r="CF43" t="s">
        <v>36</v>
      </c>
      <c r="CG43">
        <v>60</v>
      </c>
      <c r="CH43">
        <v>38</v>
      </c>
      <c r="CI43">
        <v>35</v>
      </c>
      <c r="CJ43">
        <v>24</v>
      </c>
      <c r="CK43"/>
      <c r="CL43"/>
      <c r="CM43"/>
      <c r="CN43"/>
      <c r="CO43"/>
      <c r="CP43"/>
      <c r="CQ43"/>
      <c r="CR43"/>
      <c r="CS43"/>
      <c r="CT43"/>
      <c r="CU43"/>
      <c r="CV43"/>
      <c r="CW43"/>
      <c r="CX43"/>
      <c r="CY43"/>
    </row>
    <row r="44" spans="1:103" ht="15" customHeight="1" x14ac:dyDescent="0.25">
      <c r="A44" s="55" t="s">
        <v>173</v>
      </c>
      <c r="B44" s="55"/>
      <c r="C44" s="56" t="s">
        <v>35</v>
      </c>
      <c r="D44" s="56"/>
      <c r="E44" s="56"/>
      <c r="F44" s="135" t="s">
        <v>139</v>
      </c>
      <c r="G44" s="136"/>
      <c r="H44" s="136"/>
      <c r="I44" s="136"/>
      <c r="J44" s="136"/>
      <c r="K44" s="136"/>
      <c r="L44" s="136"/>
      <c r="M44" s="137"/>
      <c r="N44"/>
      <c r="O44"/>
      <c r="P44"/>
      <c r="Q44"/>
      <c r="R44"/>
      <c r="S44"/>
      <c r="T44"/>
      <c r="U44"/>
      <c r="V44"/>
      <c r="W44"/>
      <c r="X44"/>
      <c r="Y44"/>
      <c r="Z44"/>
      <c r="AA44"/>
      <c r="AB44"/>
      <c r="AC44"/>
      <c r="AD44"/>
      <c r="AE44"/>
      <c r="AF44"/>
      <c r="AG44"/>
      <c r="AH44"/>
      <c r="AI44"/>
      <c r="AJ44"/>
      <c r="AK44"/>
      <c r="AL44"/>
      <c r="AM44"/>
      <c r="AN44" t="str">
        <f t="shared" si="15"/>
        <v>3LightLightHeavy25</v>
      </c>
      <c r="AO44">
        <v>3</v>
      </c>
      <c r="AP44" t="s">
        <v>20</v>
      </c>
      <c r="AQ44" t="s">
        <v>20</v>
      </c>
      <c r="AR44" t="s">
        <v>37</v>
      </c>
      <c r="AS44">
        <v>25</v>
      </c>
      <c r="AT44">
        <v>19</v>
      </c>
      <c r="AU44">
        <v>12</v>
      </c>
      <c r="AV44"/>
      <c r="AW44" t="str">
        <f t="shared" si="16"/>
        <v>2HeavyLightMediumHeavy25</v>
      </c>
      <c r="AX44">
        <v>2</v>
      </c>
      <c r="AY44" t="s">
        <v>37</v>
      </c>
      <c r="AZ44" t="s">
        <v>20</v>
      </c>
      <c r="BA44" t="s">
        <v>36</v>
      </c>
      <c r="BB44" t="s">
        <v>37</v>
      </c>
      <c r="BC44">
        <v>25</v>
      </c>
      <c r="BD44">
        <v>30</v>
      </c>
      <c r="BE44">
        <v>28</v>
      </c>
      <c r="BF44">
        <v>17</v>
      </c>
      <c r="BG44"/>
      <c r="BH44" t="str">
        <f t="shared" si="17"/>
        <v>3LightLightHeavy25</v>
      </c>
      <c r="BI44">
        <v>3</v>
      </c>
      <c r="BJ44" t="s">
        <v>20</v>
      </c>
      <c r="BK44" t="s">
        <v>20</v>
      </c>
      <c r="BL44" t="s">
        <v>37</v>
      </c>
      <c r="BM44">
        <v>25</v>
      </c>
      <c r="BN44" s="1" t="s">
        <v>69</v>
      </c>
      <c r="BO44">
        <v>24</v>
      </c>
      <c r="BP44">
        <v>10</v>
      </c>
      <c r="BQ44"/>
      <c r="BR44"/>
      <c r="BS44"/>
      <c r="BT44"/>
      <c r="BU44"/>
      <c r="BV44"/>
      <c r="BW44"/>
      <c r="BX44"/>
      <c r="BY44"/>
      <c r="BZ44"/>
      <c r="CA44"/>
      <c r="CB44">
        <v>3</v>
      </c>
      <c r="CC44" t="s">
        <v>37</v>
      </c>
      <c r="CD44" t="s">
        <v>20</v>
      </c>
      <c r="CE44" t="s">
        <v>36</v>
      </c>
      <c r="CF44" t="s">
        <v>37</v>
      </c>
      <c r="CG44">
        <v>25</v>
      </c>
      <c r="CH44">
        <v>33</v>
      </c>
      <c r="CI44">
        <v>30</v>
      </c>
      <c r="CJ44">
        <v>18</v>
      </c>
      <c r="CK44"/>
      <c r="CL44"/>
      <c r="CM44"/>
      <c r="CN44"/>
      <c r="CO44"/>
      <c r="CP44"/>
      <c r="CQ44"/>
      <c r="CR44"/>
      <c r="CS44"/>
      <c r="CT44"/>
      <c r="CU44"/>
      <c r="CV44"/>
      <c r="CW44"/>
      <c r="CX44"/>
      <c r="CY44"/>
    </row>
    <row r="45" spans="1:103" ht="15" customHeight="1" x14ac:dyDescent="0.25">
      <c r="A45" s="55"/>
      <c r="B45" s="55"/>
      <c r="C45" s="134">
        <f>IF(I15="Yes",S84,P84)</f>
        <v>2788.8</v>
      </c>
      <c r="D45" s="134"/>
      <c r="E45" s="134"/>
      <c r="F45" s="138"/>
      <c r="G45" s="139"/>
      <c r="H45" s="139"/>
      <c r="I45" s="139"/>
      <c r="J45" s="139"/>
      <c r="K45" s="139"/>
      <c r="L45" s="139"/>
      <c r="M45" s="140"/>
      <c r="N45"/>
      <c r="O45"/>
      <c r="P45"/>
      <c r="Q45"/>
      <c r="R45"/>
      <c r="S45"/>
      <c r="T45"/>
      <c r="U45"/>
      <c r="V45"/>
      <c r="W45"/>
      <c r="X45"/>
      <c r="Y45"/>
      <c r="Z45"/>
      <c r="AA45"/>
      <c r="AB45"/>
      <c r="AC45"/>
      <c r="AD45"/>
      <c r="AE45"/>
      <c r="AF45"/>
      <c r="AG45"/>
      <c r="AH45"/>
      <c r="AI45"/>
      <c r="AJ45"/>
      <c r="AK45"/>
      <c r="AL45"/>
      <c r="AM45"/>
      <c r="AN45" t="str">
        <f t="shared" si="15"/>
        <v>3LightLightHeavy45</v>
      </c>
      <c r="AO45">
        <v>3</v>
      </c>
      <c r="AP45" t="s">
        <v>20</v>
      </c>
      <c r="AQ45" t="s">
        <v>20</v>
      </c>
      <c r="AR45" t="s">
        <v>37</v>
      </c>
      <c r="AS45">
        <v>45</v>
      </c>
      <c r="AT45">
        <v>19</v>
      </c>
      <c r="AU45">
        <v>12</v>
      </c>
      <c r="AV45"/>
      <c r="AW45" t="str">
        <f t="shared" si="16"/>
        <v>2HeavyLightMediumHeavy45</v>
      </c>
      <c r="AX45">
        <v>2</v>
      </c>
      <c r="AY45" t="s">
        <v>37</v>
      </c>
      <c r="AZ45" t="s">
        <v>20</v>
      </c>
      <c r="BA45" t="s">
        <v>36</v>
      </c>
      <c r="BB45" t="s">
        <v>37</v>
      </c>
      <c r="BC45">
        <v>45</v>
      </c>
      <c r="BD45">
        <v>32</v>
      </c>
      <c r="BE45">
        <v>29</v>
      </c>
      <c r="BF45">
        <v>19</v>
      </c>
      <c r="BG45"/>
      <c r="BH45" t="str">
        <f t="shared" si="17"/>
        <v>3LightLightHeavy45</v>
      </c>
      <c r="BI45">
        <v>3</v>
      </c>
      <c r="BJ45" t="s">
        <v>20</v>
      </c>
      <c r="BK45" t="s">
        <v>20</v>
      </c>
      <c r="BL45" t="s">
        <v>37</v>
      </c>
      <c r="BM45">
        <v>45</v>
      </c>
      <c r="BN45" s="1" t="s">
        <v>69</v>
      </c>
      <c r="BO45">
        <v>25</v>
      </c>
      <c r="BP45">
        <v>11</v>
      </c>
      <c r="BQ45"/>
      <c r="BR45"/>
      <c r="BS45"/>
      <c r="BT45"/>
      <c r="BU45"/>
      <c r="BV45"/>
      <c r="BW45"/>
      <c r="BX45"/>
      <c r="BY45"/>
      <c r="BZ45"/>
      <c r="CA45"/>
      <c r="CB45">
        <v>3</v>
      </c>
      <c r="CC45" t="s">
        <v>37</v>
      </c>
      <c r="CD45" t="s">
        <v>20</v>
      </c>
      <c r="CE45" t="s">
        <v>36</v>
      </c>
      <c r="CF45" t="s">
        <v>37</v>
      </c>
      <c r="CG45">
        <v>45</v>
      </c>
      <c r="CH45">
        <v>35</v>
      </c>
      <c r="CI45">
        <v>32</v>
      </c>
      <c r="CJ45">
        <v>20</v>
      </c>
      <c r="CK45"/>
      <c r="CL45"/>
      <c r="CM45"/>
      <c r="CN45"/>
      <c r="CO45"/>
      <c r="CP45"/>
      <c r="CQ45"/>
      <c r="CR45"/>
      <c r="CS45"/>
      <c r="CT45"/>
      <c r="CU45"/>
      <c r="CV45"/>
      <c r="CW45"/>
      <c r="CX45"/>
      <c r="CY45"/>
    </row>
    <row r="46" spans="1:103" ht="15" customHeight="1" x14ac:dyDescent="0.25">
      <c r="A46" s="56"/>
      <c r="B46" s="56"/>
      <c r="C46" s="56"/>
      <c r="D46" s="56"/>
      <c r="E46" s="56"/>
      <c r="F46" s="138"/>
      <c r="G46" s="139"/>
      <c r="H46" s="139"/>
      <c r="I46" s="139"/>
      <c r="J46" s="139"/>
      <c r="K46" s="139"/>
      <c r="L46" s="139"/>
      <c r="M46" s="140"/>
      <c r="N46"/>
      <c r="O46"/>
      <c r="P46"/>
      <c r="Q46"/>
      <c r="R46"/>
      <c r="S46" t="str">
        <f>C22&amp;C23&amp;C26&amp;C24</f>
        <v>AUrbanT2Sheltered</v>
      </c>
      <c r="T46"/>
      <c r="U46"/>
      <c r="V46"/>
      <c r="W46"/>
      <c r="X46"/>
      <c r="Y46"/>
      <c r="Z46" t="str">
        <f>IF(C20="NZS 3604:2011",C27,C20)</f>
        <v>High</v>
      </c>
      <c r="AA46"/>
      <c r="AB46"/>
      <c r="AC46"/>
      <c r="AD46">
        <f>VLOOKUP(K22,AD47:AE49,2,FALSE)</f>
        <v>1</v>
      </c>
      <c r="AE46"/>
      <c r="AF46"/>
      <c r="AG46"/>
      <c r="AH46"/>
      <c r="AI46"/>
      <c r="AJ46"/>
      <c r="AK46"/>
      <c r="AL46"/>
      <c r="AM46"/>
      <c r="AN46" t="str">
        <f t="shared" si="15"/>
        <v>3LightLightHeavy60</v>
      </c>
      <c r="AO46">
        <v>3</v>
      </c>
      <c r="AP46" t="s">
        <v>20</v>
      </c>
      <c r="AQ46" t="s">
        <v>20</v>
      </c>
      <c r="AR46" t="s">
        <v>37</v>
      </c>
      <c r="AS46">
        <v>60</v>
      </c>
      <c r="AT46">
        <v>20</v>
      </c>
      <c r="AU46">
        <v>14</v>
      </c>
      <c r="AV46"/>
      <c r="AW46" t="str">
        <f t="shared" si="16"/>
        <v>2HeavyLightMediumHeavy60</v>
      </c>
      <c r="AX46">
        <v>2</v>
      </c>
      <c r="AY46" t="s">
        <v>37</v>
      </c>
      <c r="AZ46" t="s">
        <v>20</v>
      </c>
      <c r="BA46" t="s">
        <v>36</v>
      </c>
      <c r="BB46" t="s">
        <v>37</v>
      </c>
      <c r="BC46">
        <v>60</v>
      </c>
      <c r="BD46">
        <v>35</v>
      </c>
      <c r="BE46">
        <v>33</v>
      </c>
      <c r="BF46">
        <v>23</v>
      </c>
      <c r="BG46"/>
      <c r="BH46" t="str">
        <f t="shared" si="17"/>
        <v>3LightLightHeavy60</v>
      </c>
      <c r="BI46">
        <v>3</v>
      </c>
      <c r="BJ46" t="s">
        <v>20</v>
      </c>
      <c r="BK46" t="s">
        <v>20</v>
      </c>
      <c r="BL46" t="s">
        <v>37</v>
      </c>
      <c r="BM46">
        <v>60</v>
      </c>
      <c r="BN46" s="1" t="s">
        <v>69</v>
      </c>
      <c r="BO46">
        <v>26</v>
      </c>
      <c r="BP46">
        <v>12</v>
      </c>
      <c r="BQ46"/>
      <c r="BR46"/>
      <c r="BS46"/>
      <c r="BT46"/>
      <c r="BU46"/>
      <c r="BV46"/>
      <c r="BW46"/>
      <c r="BX46"/>
      <c r="BY46"/>
      <c r="BZ46"/>
      <c r="CA46"/>
      <c r="CB46">
        <v>3</v>
      </c>
      <c r="CC46" t="s">
        <v>37</v>
      </c>
      <c r="CD46" t="s">
        <v>20</v>
      </c>
      <c r="CE46" t="s">
        <v>36</v>
      </c>
      <c r="CF46" t="s">
        <v>37</v>
      </c>
      <c r="CG46">
        <v>60</v>
      </c>
      <c r="CH46">
        <v>38</v>
      </c>
      <c r="CI46">
        <v>35</v>
      </c>
      <c r="CJ46">
        <v>24</v>
      </c>
      <c r="CK46"/>
      <c r="CL46"/>
      <c r="CM46"/>
      <c r="CN46"/>
      <c r="CO46"/>
      <c r="CP46"/>
      <c r="CQ46"/>
      <c r="CR46"/>
      <c r="CS46"/>
      <c r="CT46"/>
      <c r="CU46"/>
      <c r="CV46"/>
      <c r="CW46"/>
      <c r="CX46"/>
      <c r="CY46"/>
    </row>
    <row r="47" spans="1:103" ht="15" customHeight="1" x14ac:dyDescent="0.25">
      <c r="A47" s="55" t="s">
        <v>174</v>
      </c>
      <c r="B47" s="55"/>
      <c r="C47" s="56" t="s">
        <v>35</v>
      </c>
      <c r="D47" s="56"/>
      <c r="E47" s="56"/>
      <c r="F47" s="138"/>
      <c r="G47" s="139"/>
      <c r="H47" s="139"/>
      <c r="I47" s="139"/>
      <c r="J47" s="139"/>
      <c r="K47" s="139"/>
      <c r="L47" s="139"/>
      <c r="M47" s="140"/>
      <c r="N47"/>
      <c r="O47"/>
      <c r="P47"/>
      <c r="Q47"/>
      <c r="R47"/>
      <c r="S47" t="s">
        <v>73</v>
      </c>
      <c r="T47"/>
      <c r="U47"/>
      <c r="V47"/>
      <c r="W47"/>
      <c r="X47"/>
      <c r="Y47"/>
      <c r="Z47" t="s">
        <v>81</v>
      </c>
      <c r="AA47"/>
      <c r="AB47"/>
      <c r="AC47"/>
      <c r="AD47" t="s">
        <v>126</v>
      </c>
      <c r="AE47">
        <v>1</v>
      </c>
      <c r="AF47"/>
      <c r="AG47"/>
      <c r="AH47"/>
      <c r="AI47"/>
      <c r="AJ47"/>
      <c r="AK47"/>
      <c r="AL47"/>
      <c r="AM47"/>
      <c r="AN47" t="str">
        <f t="shared" si="15"/>
        <v>3LightMediumMedium25</v>
      </c>
      <c r="AO47">
        <v>3</v>
      </c>
      <c r="AP47" t="s">
        <v>20</v>
      </c>
      <c r="AQ47" t="s">
        <v>36</v>
      </c>
      <c r="AR47" t="s">
        <v>36</v>
      </c>
      <c r="AS47">
        <v>25</v>
      </c>
      <c r="AT47">
        <v>19</v>
      </c>
      <c r="AU47">
        <v>13</v>
      </c>
      <c r="AV47"/>
      <c r="AW47" t="str">
        <f t="shared" si="16"/>
        <v>2HeavyLightHeavyHeavy25</v>
      </c>
      <c r="AX47">
        <v>2</v>
      </c>
      <c r="AY47" t="s">
        <v>37</v>
      </c>
      <c r="AZ47" t="s">
        <v>20</v>
      </c>
      <c r="BA47" t="s">
        <v>37</v>
      </c>
      <c r="BB47" t="s">
        <v>37</v>
      </c>
      <c r="BC47">
        <v>25</v>
      </c>
      <c r="BD47">
        <v>39</v>
      </c>
      <c r="BE47">
        <v>35</v>
      </c>
      <c r="BF47">
        <v>18</v>
      </c>
      <c r="BG47"/>
      <c r="BH47" t="str">
        <f t="shared" si="17"/>
        <v>3LightMediumMedium25</v>
      </c>
      <c r="BI47">
        <v>3</v>
      </c>
      <c r="BJ47" t="s">
        <v>20</v>
      </c>
      <c r="BK47" t="s">
        <v>36</v>
      </c>
      <c r="BL47" t="s">
        <v>36</v>
      </c>
      <c r="BM47">
        <v>25</v>
      </c>
      <c r="BN47">
        <v>6</v>
      </c>
      <c r="BO47">
        <v>21</v>
      </c>
      <c r="BP47">
        <v>11</v>
      </c>
      <c r="BQ47"/>
      <c r="BR47"/>
      <c r="BS47"/>
      <c r="BT47"/>
      <c r="BU47"/>
      <c r="BV47"/>
      <c r="BW47"/>
      <c r="BX47"/>
      <c r="BY47"/>
      <c r="BZ47"/>
      <c r="CA47"/>
      <c r="CB47">
        <v>3</v>
      </c>
      <c r="CC47" t="s">
        <v>37</v>
      </c>
      <c r="CD47" t="s">
        <v>20</v>
      </c>
      <c r="CE47" t="s">
        <v>37</v>
      </c>
      <c r="CF47" t="s">
        <v>37</v>
      </c>
      <c r="CG47">
        <v>25</v>
      </c>
      <c r="CH47">
        <v>42</v>
      </c>
      <c r="CI47">
        <v>37</v>
      </c>
      <c r="CJ47">
        <v>19</v>
      </c>
      <c r="CK47"/>
      <c r="CL47"/>
      <c r="CM47"/>
      <c r="CN47"/>
      <c r="CO47"/>
      <c r="CP47"/>
      <c r="CQ47"/>
      <c r="CR47"/>
      <c r="CS47"/>
      <c r="CT47"/>
      <c r="CU47"/>
      <c r="CV47"/>
      <c r="CW47"/>
      <c r="CX47"/>
      <c r="CY47"/>
    </row>
    <row r="48" spans="1:103" ht="15" customHeight="1" x14ac:dyDescent="0.25">
      <c r="A48" s="55"/>
      <c r="B48" s="55"/>
      <c r="C48" s="57">
        <f>IF(I15="Yes",S85,P85)</f>
        <v>996</v>
      </c>
      <c r="D48" s="57"/>
      <c r="E48" s="57"/>
      <c r="F48" s="138"/>
      <c r="G48" s="139"/>
      <c r="H48" s="139"/>
      <c r="I48" s="139"/>
      <c r="J48" s="139"/>
      <c r="K48" s="139"/>
      <c r="L48" s="139"/>
      <c r="M48" s="140"/>
      <c r="N48"/>
      <c r="O48"/>
      <c r="P48"/>
      <c r="Q48" t="s">
        <v>38</v>
      </c>
      <c r="R48"/>
      <c r="S48" t="str">
        <f>T48&amp;U48&amp;V48&amp;W48</f>
        <v>AUrbanT1Sheltered</v>
      </c>
      <c r="T48" t="s">
        <v>13</v>
      </c>
      <c r="U48" t="s">
        <v>27</v>
      </c>
      <c r="V48" t="s">
        <v>21</v>
      </c>
      <c r="W48" t="s">
        <v>77</v>
      </c>
      <c r="X48" t="s">
        <v>16</v>
      </c>
      <c r="Y48" t="s">
        <v>71</v>
      </c>
      <c r="Z48" t="s">
        <v>16</v>
      </c>
      <c r="AA48">
        <v>0.5</v>
      </c>
      <c r="AB48" t="s">
        <v>71</v>
      </c>
      <c r="AC48"/>
      <c r="AD48" t="s">
        <v>124</v>
      </c>
      <c r="AE48">
        <v>1.3</v>
      </c>
      <c r="AF48"/>
      <c r="AG48"/>
      <c r="AH48"/>
      <c r="AI48"/>
      <c r="AJ48"/>
      <c r="AK48"/>
      <c r="AL48"/>
      <c r="AM48"/>
      <c r="AN48" t="str">
        <f t="shared" si="15"/>
        <v>3LightMediumMedium45</v>
      </c>
      <c r="AO48">
        <v>3</v>
      </c>
      <c r="AP48" t="s">
        <v>20</v>
      </c>
      <c r="AQ48" t="s">
        <v>36</v>
      </c>
      <c r="AR48" t="s">
        <v>36</v>
      </c>
      <c r="AS48">
        <v>45</v>
      </c>
      <c r="AT48">
        <v>20</v>
      </c>
      <c r="AU48">
        <v>13</v>
      </c>
      <c r="AV48"/>
      <c r="AW48" t="str">
        <f t="shared" si="16"/>
        <v>2HeavyLightHeavyHeavy45</v>
      </c>
      <c r="AX48">
        <v>2</v>
      </c>
      <c r="AY48" t="s">
        <v>37</v>
      </c>
      <c r="AZ48" t="s">
        <v>20</v>
      </c>
      <c r="BA48" t="s">
        <v>37</v>
      </c>
      <c r="BB48" t="s">
        <v>37</v>
      </c>
      <c r="BC48">
        <v>45</v>
      </c>
      <c r="BD48">
        <v>40</v>
      </c>
      <c r="BE48">
        <v>37</v>
      </c>
      <c r="BF48">
        <v>21</v>
      </c>
      <c r="BG48"/>
      <c r="BH48" t="str">
        <f t="shared" si="17"/>
        <v>3LightMediumMedium45</v>
      </c>
      <c r="BI48">
        <v>3</v>
      </c>
      <c r="BJ48" t="s">
        <v>20</v>
      </c>
      <c r="BK48" t="s">
        <v>36</v>
      </c>
      <c r="BL48" t="s">
        <v>36</v>
      </c>
      <c r="BM48">
        <v>45</v>
      </c>
      <c r="BN48">
        <v>7</v>
      </c>
      <c r="BO48">
        <v>22</v>
      </c>
      <c r="BP48">
        <v>11</v>
      </c>
      <c r="BQ48"/>
      <c r="BR48"/>
      <c r="BS48"/>
      <c r="BT48"/>
      <c r="BU48"/>
      <c r="BV48"/>
      <c r="BW48"/>
      <c r="BX48"/>
      <c r="BY48"/>
      <c r="BZ48"/>
      <c r="CA48"/>
      <c r="CB48">
        <v>3</v>
      </c>
      <c r="CC48" t="s">
        <v>37</v>
      </c>
      <c r="CD48" t="s">
        <v>20</v>
      </c>
      <c r="CE48" t="s">
        <v>37</v>
      </c>
      <c r="CF48" t="s">
        <v>37</v>
      </c>
      <c r="CG48">
        <v>45</v>
      </c>
      <c r="CH48">
        <v>43</v>
      </c>
      <c r="CI48">
        <v>39</v>
      </c>
      <c r="CJ48">
        <v>21</v>
      </c>
      <c r="CK48"/>
      <c r="CL48"/>
      <c r="CM48"/>
      <c r="CN48"/>
      <c r="CO48"/>
      <c r="CP48"/>
      <c r="CQ48"/>
      <c r="CR48"/>
      <c r="CS48"/>
      <c r="CT48"/>
      <c r="CU48"/>
      <c r="CV48"/>
      <c r="CW48"/>
      <c r="CX48"/>
      <c r="CY48"/>
    </row>
    <row r="49" spans="1:103 16384:16384" ht="15" customHeight="1" x14ac:dyDescent="0.25">
      <c r="A49" s="130"/>
      <c r="B49" s="131"/>
      <c r="C49" s="131"/>
      <c r="D49" s="131"/>
      <c r="E49" s="132"/>
      <c r="F49" s="138"/>
      <c r="G49" s="139"/>
      <c r="H49" s="139"/>
      <c r="I49" s="139"/>
      <c r="J49" s="139"/>
      <c r="K49" s="139"/>
      <c r="L49" s="139"/>
      <c r="M49" s="140"/>
      <c r="N49"/>
      <c r="O49"/>
      <c r="P49"/>
      <c r="Q49"/>
      <c r="R49"/>
      <c r="S49" t="str">
        <f t="shared" ref="S49:S79" si="18">T49&amp;U49&amp;V49&amp;W49</f>
        <v>AUrbanT1Exposed</v>
      </c>
      <c r="T49" t="s">
        <v>13</v>
      </c>
      <c r="U49" t="s">
        <v>27</v>
      </c>
      <c r="V49" t="s">
        <v>21</v>
      </c>
      <c r="W49" t="s">
        <v>14</v>
      </c>
      <c r="X49" t="s">
        <v>36</v>
      </c>
      <c r="Y49" t="s">
        <v>82</v>
      </c>
      <c r="Z49" t="s">
        <v>36</v>
      </c>
      <c r="AA49">
        <v>0.7</v>
      </c>
      <c r="AB49" t="s">
        <v>82</v>
      </c>
      <c r="AC49"/>
      <c r="AD49" t="s">
        <v>125</v>
      </c>
      <c r="AE49">
        <v>1.8</v>
      </c>
      <c r="AF49"/>
      <c r="AG49"/>
      <c r="AH49"/>
      <c r="AI49"/>
      <c r="AJ49"/>
      <c r="AK49"/>
      <c r="AL49"/>
      <c r="AM49"/>
      <c r="AN49" t="str">
        <f t="shared" si="15"/>
        <v>3LightMediumMedium60</v>
      </c>
      <c r="AO49">
        <v>3</v>
      </c>
      <c r="AP49" t="s">
        <v>20</v>
      </c>
      <c r="AQ49" t="s">
        <v>36</v>
      </c>
      <c r="AR49" t="s">
        <v>36</v>
      </c>
      <c r="AS49">
        <v>60</v>
      </c>
      <c r="AT49">
        <v>21</v>
      </c>
      <c r="AU49">
        <v>15</v>
      </c>
      <c r="AV49"/>
      <c r="AW49" t="str">
        <f t="shared" si="16"/>
        <v>2HeavyLightHeavyHeavy60</v>
      </c>
      <c r="AX49">
        <v>2</v>
      </c>
      <c r="AY49" t="s">
        <v>37</v>
      </c>
      <c r="AZ49" t="s">
        <v>20</v>
      </c>
      <c r="BA49" t="s">
        <v>37</v>
      </c>
      <c r="BB49" t="s">
        <v>37</v>
      </c>
      <c r="BC49">
        <v>60</v>
      </c>
      <c r="BD49">
        <v>44</v>
      </c>
      <c r="BE49">
        <v>40</v>
      </c>
      <c r="BF49">
        <v>25</v>
      </c>
      <c r="BG49"/>
      <c r="BH49" t="str">
        <f t="shared" si="17"/>
        <v>3LightMediumMedium60</v>
      </c>
      <c r="BI49">
        <v>3</v>
      </c>
      <c r="BJ49" t="s">
        <v>20</v>
      </c>
      <c r="BK49" t="s">
        <v>36</v>
      </c>
      <c r="BL49" t="s">
        <v>36</v>
      </c>
      <c r="BM49">
        <v>60</v>
      </c>
      <c r="BN49">
        <v>8</v>
      </c>
      <c r="BO49">
        <v>23</v>
      </c>
      <c r="BP49">
        <v>13</v>
      </c>
      <c r="BQ49"/>
      <c r="BR49"/>
      <c r="BS49"/>
      <c r="BT49"/>
      <c r="BU49"/>
      <c r="BV49"/>
      <c r="BW49"/>
      <c r="BX49"/>
      <c r="BY49"/>
      <c r="BZ49"/>
      <c r="CA49"/>
      <c r="CB49">
        <v>3</v>
      </c>
      <c r="CC49" t="s">
        <v>37</v>
      </c>
      <c r="CD49" t="s">
        <v>20</v>
      </c>
      <c r="CE49" t="s">
        <v>37</v>
      </c>
      <c r="CF49" t="s">
        <v>37</v>
      </c>
      <c r="CG49">
        <v>60</v>
      </c>
      <c r="CH49">
        <v>47</v>
      </c>
      <c r="CI49">
        <v>43</v>
      </c>
      <c r="CJ49">
        <v>26</v>
      </c>
      <c r="CK49"/>
      <c r="CL49"/>
      <c r="CM49"/>
      <c r="CN49"/>
      <c r="CO49"/>
      <c r="CP49"/>
      <c r="CQ49"/>
      <c r="CR49"/>
      <c r="CS49"/>
      <c r="CT49"/>
      <c r="CU49"/>
      <c r="CV49"/>
      <c r="CW49"/>
      <c r="CX49"/>
      <c r="CY49"/>
    </row>
    <row r="50" spans="1:103 16384:16384" ht="15" customHeight="1" x14ac:dyDescent="0.25">
      <c r="A50" s="55" t="s">
        <v>155</v>
      </c>
      <c r="B50" s="55"/>
      <c r="C50" s="56" t="s">
        <v>35</v>
      </c>
      <c r="D50" s="56"/>
      <c r="E50" s="56"/>
      <c r="F50" s="138"/>
      <c r="G50" s="139"/>
      <c r="H50" s="139"/>
      <c r="I50" s="139"/>
      <c r="J50" s="139"/>
      <c r="K50" s="139"/>
      <c r="L50" s="139"/>
      <c r="M50" s="140"/>
      <c r="N50"/>
      <c r="O50"/>
      <c r="P50" t="s">
        <v>43</v>
      </c>
      <c r="Q50">
        <v>0.3</v>
      </c>
      <c r="R50"/>
      <c r="S50" t="str">
        <f t="shared" si="18"/>
        <v>AUrbanT2Sheltered</v>
      </c>
      <c r="T50" t="s">
        <v>13</v>
      </c>
      <c r="U50" t="s">
        <v>27</v>
      </c>
      <c r="V50" t="s">
        <v>74</v>
      </c>
      <c r="W50" t="s">
        <v>77</v>
      </c>
      <c r="X50" t="s">
        <v>36</v>
      </c>
      <c r="Y50" t="s">
        <v>82</v>
      </c>
      <c r="Z50" t="s">
        <v>71</v>
      </c>
      <c r="AA50">
        <v>1</v>
      </c>
      <c r="AB50" t="s">
        <v>80</v>
      </c>
      <c r="AC50"/>
      <c r="AD50"/>
      <c r="AE50"/>
      <c r="AF50"/>
      <c r="AG50"/>
      <c r="AH50"/>
      <c r="AI50"/>
      <c r="AJ50"/>
      <c r="AK50"/>
      <c r="AL50"/>
      <c r="AM50"/>
      <c r="AN50" t="str">
        <f t="shared" si="15"/>
        <v>3LightMediumHeavy25</v>
      </c>
      <c r="AO50">
        <v>3</v>
      </c>
      <c r="AP50" t="s">
        <v>20</v>
      </c>
      <c r="AQ50" t="s">
        <v>36</v>
      </c>
      <c r="AR50" t="s">
        <v>37</v>
      </c>
      <c r="AS50">
        <v>25</v>
      </c>
      <c r="AT50">
        <v>21</v>
      </c>
      <c r="AU50">
        <v>13</v>
      </c>
      <c r="AV50"/>
      <c r="AW50" t="str">
        <f t="shared" si="16"/>
        <v>2HeavyMediumMediumMedium25</v>
      </c>
      <c r="AX50">
        <v>2</v>
      </c>
      <c r="AY50" t="s">
        <v>37</v>
      </c>
      <c r="AZ50" t="s">
        <v>36</v>
      </c>
      <c r="BA50" t="s">
        <v>36</v>
      </c>
      <c r="BB50" t="s">
        <v>36</v>
      </c>
      <c r="BC50">
        <v>25</v>
      </c>
      <c r="BD50">
        <v>34</v>
      </c>
      <c r="BE50">
        <v>31</v>
      </c>
      <c r="BF50">
        <v>18</v>
      </c>
      <c r="BG50"/>
      <c r="BH50" t="str">
        <f t="shared" si="17"/>
        <v>3LightMediumHeavy25</v>
      </c>
      <c r="BI50">
        <v>3</v>
      </c>
      <c r="BJ50" t="s">
        <v>20</v>
      </c>
      <c r="BK50" t="s">
        <v>36</v>
      </c>
      <c r="BL50" t="s">
        <v>37</v>
      </c>
      <c r="BM50">
        <v>25</v>
      </c>
      <c r="BN50" s="1" t="s">
        <v>69</v>
      </c>
      <c r="BO50">
        <v>27</v>
      </c>
      <c r="BP50">
        <v>11</v>
      </c>
      <c r="BQ50"/>
      <c r="BR50"/>
      <c r="BS50"/>
      <c r="BT50"/>
      <c r="BU50"/>
      <c r="BV50"/>
      <c r="BW50"/>
      <c r="BX50"/>
      <c r="BY50"/>
      <c r="BZ50"/>
      <c r="CA50"/>
      <c r="CB50">
        <v>3</v>
      </c>
      <c r="CC50" t="s">
        <v>37</v>
      </c>
      <c r="CD50" t="s">
        <v>36</v>
      </c>
      <c r="CE50" t="s">
        <v>36</v>
      </c>
      <c r="CF50" t="s">
        <v>36</v>
      </c>
      <c r="CG50">
        <v>25</v>
      </c>
      <c r="CH50">
        <v>37</v>
      </c>
      <c r="CI50">
        <v>33</v>
      </c>
      <c r="CJ50">
        <v>19</v>
      </c>
      <c r="CK50"/>
      <c r="CL50"/>
      <c r="CM50"/>
      <c r="CN50"/>
      <c r="CO50"/>
      <c r="CP50"/>
      <c r="CQ50"/>
      <c r="CR50"/>
      <c r="CS50"/>
      <c r="CT50"/>
      <c r="CU50"/>
      <c r="CV50"/>
      <c r="CW50"/>
      <c r="CX50"/>
      <c r="CY50"/>
    </row>
    <row r="51" spans="1:103 16384:16384" ht="15" customHeight="1" x14ac:dyDescent="0.25">
      <c r="A51" s="55"/>
      <c r="B51" s="55"/>
      <c r="C51" s="57">
        <f>IF(I15="Yes",S86,P86)</f>
        <v>1992</v>
      </c>
      <c r="D51" s="57"/>
      <c r="E51" s="57"/>
      <c r="F51" s="138"/>
      <c r="G51" s="139"/>
      <c r="H51" s="139"/>
      <c r="I51" s="139"/>
      <c r="J51" s="139"/>
      <c r="K51" s="139"/>
      <c r="L51" s="139"/>
      <c r="M51" s="140"/>
      <c r="N51"/>
      <c r="O51"/>
      <c r="P51" t="s">
        <v>44</v>
      </c>
      <c r="Q51">
        <v>0.3</v>
      </c>
      <c r="R51"/>
      <c r="S51" t="str">
        <f t="shared" si="18"/>
        <v>AUrbanT2Exposed</v>
      </c>
      <c r="T51" t="s">
        <v>13</v>
      </c>
      <c r="U51" t="s">
        <v>27</v>
      </c>
      <c r="V51" t="s">
        <v>74</v>
      </c>
      <c r="W51" t="s">
        <v>14</v>
      </c>
      <c r="X51" t="s">
        <v>71</v>
      </c>
      <c r="Y51" t="s">
        <v>80</v>
      </c>
      <c r="Z51" t="s">
        <v>82</v>
      </c>
      <c r="AA51">
        <v>1.3</v>
      </c>
      <c r="AB51" t="s">
        <v>80</v>
      </c>
      <c r="AC51"/>
      <c r="AD51"/>
      <c r="AE51"/>
      <c r="AF51"/>
      <c r="AG51"/>
      <c r="AH51"/>
      <c r="AI51"/>
      <c r="AJ51"/>
      <c r="AK51"/>
      <c r="AL51"/>
      <c r="AM51"/>
      <c r="AN51" t="str">
        <f t="shared" si="15"/>
        <v>3LightMediumHeavy45</v>
      </c>
      <c r="AO51">
        <v>3</v>
      </c>
      <c r="AP51" t="s">
        <v>20</v>
      </c>
      <c r="AQ51" t="s">
        <v>36</v>
      </c>
      <c r="AR51" t="s">
        <v>37</v>
      </c>
      <c r="AS51">
        <v>45</v>
      </c>
      <c r="AT51">
        <v>22</v>
      </c>
      <c r="AU51">
        <v>14</v>
      </c>
      <c r="AV51"/>
      <c r="AW51" t="str">
        <f t="shared" si="16"/>
        <v>2HeavyMediumMediumMedium45</v>
      </c>
      <c r="AX51">
        <v>2</v>
      </c>
      <c r="AY51" t="s">
        <v>37</v>
      </c>
      <c r="AZ51" t="s">
        <v>36</v>
      </c>
      <c r="BA51" t="s">
        <v>36</v>
      </c>
      <c r="BB51" t="s">
        <v>36</v>
      </c>
      <c r="BC51">
        <v>45</v>
      </c>
      <c r="BD51">
        <v>36</v>
      </c>
      <c r="BE51">
        <v>33</v>
      </c>
      <c r="BF51">
        <v>21</v>
      </c>
      <c r="BG51"/>
      <c r="BH51" t="str">
        <f t="shared" si="17"/>
        <v>3LightMediumHeavy45</v>
      </c>
      <c r="BI51">
        <v>3</v>
      </c>
      <c r="BJ51" t="s">
        <v>20</v>
      </c>
      <c r="BK51" t="s">
        <v>36</v>
      </c>
      <c r="BL51" t="s">
        <v>37</v>
      </c>
      <c r="BM51">
        <v>45</v>
      </c>
      <c r="BN51" s="1" t="s">
        <v>69</v>
      </c>
      <c r="BO51">
        <v>27</v>
      </c>
      <c r="BP51">
        <v>12</v>
      </c>
      <c r="BQ51"/>
      <c r="BR51"/>
      <c r="BS51"/>
      <c r="BT51"/>
      <c r="BU51"/>
      <c r="BV51"/>
      <c r="BW51"/>
      <c r="BX51"/>
      <c r="BY51"/>
      <c r="BZ51"/>
      <c r="CA51"/>
      <c r="CB51">
        <v>3</v>
      </c>
      <c r="CC51" t="s">
        <v>37</v>
      </c>
      <c r="CD51" t="s">
        <v>36</v>
      </c>
      <c r="CE51" t="s">
        <v>36</v>
      </c>
      <c r="CF51" t="s">
        <v>36</v>
      </c>
      <c r="CG51">
        <v>45</v>
      </c>
      <c r="CH51">
        <v>39</v>
      </c>
      <c r="CI51">
        <v>35</v>
      </c>
      <c r="CJ51">
        <v>21</v>
      </c>
      <c r="CK51"/>
      <c r="CL51"/>
      <c r="CM51"/>
      <c r="CN51"/>
      <c r="CO51"/>
      <c r="CP51"/>
      <c r="CQ51"/>
      <c r="CR51"/>
      <c r="CS51"/>
      <c r="CT51"/>
      <c r="CU51"/>
      <c r="CV51"/>
      <c r="CW51"/>
      <c r="CX51"/>
      <c r="CY51"/>
    </row>
    <row r="52" spans="1:103 16384:16384" ht="15" customHeight="1" x14ac:dyDescent="0.25">
      <c r="A52" s="130"/>
      <c r="B52" s="131"/>
      <c r="C52" s="131"/>
      <c r="D52" s="131"/>
      <c r="E52" s="132"/>
      <c r="F52" s="138"/>
      <c r="G52" s="139"/>
      <c r="H52" s="139"/>
      <c r="I52" s="139"/>
      <c r="J52" s="139"/>
      <c r="K52" s="139"/>
      <c r="L52" s="139"/>
      <c r="M52" s="140"/>
      <c r="N52"/>
      <c r="O52"/>
      <c r="P52" t="s">
        <v>45</v>
      </c>
      <c r="Q52">
        <v>0.4</v>
      </c>
      <c r="R52"/>
      <c r="S52" t="str">
        <f t="shared" si="18"/>
        <v>AUrbanT3Sheltered</v>
      </c>
      <c r="T52" t="s">
        <v>13</v>
      </c>
      <c r="U52" t="s">
        <v>27</v>
      </c>
      <c r="V52" t="s">
        <v>75</v>
      </c>
      <c r="W52" t="s">
        <v>77</v>
      </c>
      <c r="X52" t="s">
        <v>71</v>
      </c>
      <c r="Y52" t="s">
        <v>80</v>
      </c>
      <c r="Z52" t="s">
        <v>72</v>
      </c>
      <c r="AA52">
        <v>1.6</v>
      </c>
      <c r="AB52" t="s">
        <v>80</v>
      </c>
      <c r="AC52"/>
      <c r="AD52"/>
      <c r="AE52"/>
      <c r="AF52"/>
      <c r="AG52"/>
      <c r="AH52"/>
      <c r="AI52"/>
      <c r="AJ52"/>
      <c r="AK52"/>
      <c r="AL52"/>
      <c r="AM52"/>
      <c r="AN52" t="str">
        <f t="shared" si="15"/>
        <v>3LightMediumHeavy60</v>
      </c>
      <c r="AO52">
        <v>3</v>
      </c>
      <c r="AP52" t="s">
        <v>20</v>
      </c>
      <c r="AQ52" t="s">
        <v>36</v>
      </c>
      <c r="AR52" t="s">
        <v>37</v>
      </c>
      <c r="AS52">
        <v>60</v>
      </c>
      <c r="AT52">
        <v>23</v>
      </c>
      <c r="AU52">
        <v>16</v>
      </c>
      <c r="AV52"/>
      <c r="AW52" t="str">
        <f t="shared" si="16"/>
        <v>2HeavyMediumMediumMedium60</v>
      </c>
      <c r="AX52">
        <v>2</v>
      </c>
      <c r="AY52" t="s">
        <v>37</v>
      </c>
      <c r="AZ52" t="s">
        <v>36</v>
      </c>
      <c r="BA52" t="s">
        <v>36</v>
      </c>
      <c r="BB52" t="s">
        <v>36</v>
      </c>
      <c r="BC52">
        <v>60</v>
      </c>
      <c r="BD52">
        <v>39</v>
      </c>
      <c r="BE52">
        <v>36</v>
      </c>
      <c r="BF52">
        <v>25</v>
      </c>
      <c r="BG52"/>
      <c r="BH52" t="str">
        <f t="shared" si="17"/>
        <v>3LightMediumHeavy60</v>
      </c>
      <c r="BI52">
        <v>3</v>
      </c>
      <c r="BJ52" t="s">
        <v>20</v>
      </c>
      <c r="BK52" t="s">
        <v>36</v>
      </c>
      <c r="BL52" t="s">
        <v>37</v>
      </c>
      <c r="BM52">
        <v>60</v>
      </c>
      <c r="BN52" s="1" t="s">
        <v>69</v>
      </c>
      <c r="BO52">
        <v>28</v>
      </c>
      <c r="BP52">
        <v>14</v>
      </c>
      <c r="BQ52"/>
      <c r="BR52"/>
      <c r="BS52"/>
      <c r="BT52"/>
      <c r="BU52"/>
      <c r="BV52"/>
      <c r="BW52"/>
      <c r="BX52"/>
      <c r="BY52"/>
      <c r="BZ52"/>
      <c r="CA52"/>
      <c r="CB52">
        <v>3</v>
      </c>
      <c r="CC52" t="s">
        <v>37</v>
      </c>
      <c r="CD52" t="s">
        <v>36</v>
      </c>
      <c r="CE52" t="s">
        <v>36</v>
      </c>
      <c r="CF52" t="s">
        <v>36</v>
      </c>
      <c r="CG52">
        <v>60</v>
      </c>
      <c r="CH52">
        <v>42</v>
      </c>
      <c r="CI52">
        <v>39</v>
      </c>
      <c r="CJ52">
        <v>25</v>
      </c>
      <c r="CK52"/>
      <c r="CL52"/>
      <c r="CM52"/>
      <c r="CN52"/>
      <c r="CO52"/>
      <c r="CP52"/>
      <c r="CQ52"/>
      <c r="CR52"/>
      <c r="CS52"/>
      <c r="CT52"/>
      <c r="CU52"/>
      <c r="CV52"/>
      <c r="CW52"/>
      <c r="CX52"/>
      <c r="CY52"/>
    </row>
    <row r="53" spans="1:103 16384:16384" ht="15" customHeight="1" x14ac:dyDescent="0.25">
      <c r="A53" s="55" t="s">
        <v>158</v>
      </c>
      <c r="B53" s="55"/>
      <c r="C53" s="56" t="s">
        <v>35</v>
      </c>
      <c r="D53" s="56"/>
      <c r="E53" s="56"/>
      <c r="F53" s="138"/>
      <c r="G53" s="139"/>
      <c r="H53" s="139"/>
      <c r="I53" s="139"/>
      <c r="J53" s="139"/>
      <c r="K53" s="139"/>
      <c r="L53" s="139"/>
      <c r="M53" s="140"/>
      <c r="N53"/>
      <c r="O53"/>
      <c r="P53" t="s">
        <v>46</v>
      </c>
      <c r="Q53">
        <v>0.5</v>
      </c>
      <c r="R53"/>
      <c r="S53" t="str">
        <f t="shared" si="18"/>
        <v>AUrbanT3Exposed</v>
      </c>
      <c r="T53" t="s">
        <v>13</v>
      </c>
      <c r="U53" t="s">
        <v>27</v>
      </c>
      <c r="V53" t="s">
        <v>75</v>
      </c>
      <c r="W53" t="s">
        <v>14</v>
      </c>
      <c r="X53" t="s">
        <v>71</v>
      </c>
      <c r="Y53" t="s">
        <v>80</v>
      </c>
      <c r="Z53"/>
      <c r="AA53"/>
      <c r="AB53"/>
      <c r="AC53"/>
      <c r="AD53"/>
      <c r="AE53"/>
      <c r="AF53"/>
      <c r="AG53"/>
      <c r="AH53"/>
      <c r="AI53"/>
      <c r="AJ53"/>
      <c r="AK53"/>
      <c r="AL53"/>
      <c r="AM53"/>
      <c r="AN53" t="str">
        <f t="shared" si="15"/>
        <v>3LightHeavyHeavy25</v>
      </c>
      <c r="AO53">
        <v>3</v>
      </c>
      <c r="AP53" t="s">
        <v>20</v>
      </c>
      <c r="AQ53" t="s">
        <v>37</v>
      </c>
      <c r="AR53" t="s">
        <v>37</v>
      </c>
      <c r="AS53">
        <v>25</v>
      </c>
      <c r="AT53">
        <v>29</v>
      </c>
      <c r="AU53">
        <v>18</v>
      </c>
      <c r="AV53"/>
      <c r="AW53" t="str">
        <f t="shared" si="16"/>
        <v>2HeavyMediumMediumHeavy25</v>
      </c>
      <c r="AX53">
        <v>2</v>
      </c>
      <c r="AY53" t="s">
        <v>37</v>
      </c>
      <c r="AZ53" t="s">
        <v>36</v>
      </c>
      <c r="BA53" t="s">
        <v>36</v>
      </c>
      <c r="BB53" t="s">
        <v>37</v>
      </c>
      <c r="BC53">
        <v>25</v>
      </c>
      <c r="BD53">
        <v>34</v>
      </c>
      <c r="BE53">
        <v>31</v>
      </c>
      <c r="BF53">
        <v>18</v>
      </c>
      <c r="BG53"/>
      <c r="BH53" t="str">
        <f t="shared" si="17"/>
        <v>3LightHeavyHeavy25</v>
      </c>
      <c r="BI53">
        <v>3</v>
      </c>
      <c r="BJ53" t="s">
        <v>20</v>
      </c>
      <c r="BK53" t="s">
        <v>37</v>
      </c>
      <c r="BL53" t="s">
        <v>37</v>
      </c>
      <c r="BM53">
        <v>25</v>
      </c>
      <c r="BN53">
        <v>9</v>
      </c>
      <c r="BO53">
        <v>34</v>
      </c>
      <c r="BP53">
        <v>15</v>
      </c>
      <c r="BQ53"/>
      <c r="BR53"/>
      <c r="BS53"/>
      <c r="BT53"/>
      <c r="BU53"/>
      <c r="BV53"/>
      <c r="BW53"/>
      <c r="BX53"/>
      <c r="BY53"/>
      <c r="BZ53"/>
      <c r="CA53"/>
      <c r="CB53">
        <v>3</v>
      </c>
      <c r="CC53" t="s">
        <v>37</v>
      </c>
      <c r="CD53" t="s">
        <v>36</v>
      </c>
      <c r="CE53" t="s">
        <v>36</v>
      </c>
      <c r="CF53" t="s">
        <v>37</v>
      </c>
      <c r="CG53">
        <v>25</v>
      </c>
      <c r="CH53">
        <v>37</v>
      </c>
      <c r="CI53">
        <v>33</v>
      </c>
      <c r="CJ53">
        <v>19</v>
      </c>
      <c r="CK53"/>
      <c r="CL53"/>
      <c r="CM53"/>
      <c r="CN53"/>
      <c r="CO53"/>
      <c r="CP53"/>
      <c r="CQ53"/>
      <c r="CR53"/>
      <c r="CS53"/>
      <c r="CT53"/>
      <c r="CU53"/>
      <c r="CV53"/>
      <c r="CW53"/>
      <c r="CX53"/>
      <c r="CY53"/>
    </row>
    <row r="54" spans="1:103 16384:16384" ht="15" customHeight="1" x14ac:dyDescent="0.25">
      <c r="A54" s="55"/>
      <c r="B54" s="55"/>
      <c r="C54" s="57">
        <f>IF(I15="Yes",S87,P87)</f>
        <v>936</v>
      </c>
      <c r="D54" s="57"/>
      <c r="E54" s="57"/>
      <c r="F54" s="141"/>
      <c r="G54" s="142"/>
      <c r="H54" s="142"/>
      <c r="I54" s="142"/>
      <c r="J54" s="142"/>
      <c r="K54" s="142"/>
      <c r="L54" s="142"/>
      <c r="M54" s="143"/>
      <c r="N54"/>
      <c r="O54"/>
      <c r="P54" t="s">
        <v>47</v>
      </c>
      <c r="Q54">
        <v>0.5</v>
      </c>
      <c r="R54"/>
      <c r="S54" t="str">
        <f t="shared" si="18"/>
        <v>AUrbanT4Sheltered</v>
      </c>
      <c r="T54" t="s">
        <v>13</v>
      </c>
      <c r="U54" t="s">
        <v>27</v>
      </c>
      <c r="V54" t="s">
        <v>76</v>
      </c>
      <c r="W54" t="s">
        <v>77</v>
      </c>
      <c r="X54" t="s">
        <v>71</v>
      </c>
      <c r="Y54" t="s">
        <v>80</v>
      </c>
      <c r="Z54"/>
      <c r="AA54"/>
      <c r="AB54"/>
      <c r="AC54"/>
      <c r="AD54"/>
      <c r="AE54"/>
      <c r="AF54"/>
      <c r="AG54"/>
      <c r="AH54"/>
      <c r="AI54"/>
      <c r="AJ54"/>
      <c r="AK54"/>
      <c r="AL54"/>
      <c r="AM54"/>
      <c r="AN54" t="str">
        <f t="shared" si="15"/>
        <v>3LightHeavyHeavy45</v>
      </c>
      <c r="AO54">
        <v>3</v>
      </c>
      <c r="AP54" t="s">
        <v>20</v>
      </c>
      <c r="AQ54" t="s">
        <v>37</v>
      </c>
      <c r="AR54" t="s">
        <v>37</v>
      </c>
      <c r="AS54">
        <v>45</v>
      </c>
      <c r="AT54">
        <v>29</v>
      </c>
      <c r="AU54">
        <v>19</v>
      </c>
      <c r="AV54"/>
      <c r="AW54" t="str">
        <f t="shared" si="16"/>
        <v>2HeavyMediumMediumHeavy45</v>
      </c>
      <c r="AX54">
        <v>2</v>
      </c>
      <c r="AY54" t="s">
        <v>37</v>
      </c>
      <c r="AZ54" t="s">
        <v>36</v>
      </c>
      <c r="BA54" t="s">
        <v>36</v>
      </c>
      <c r="BB54" t="s">
        <v>37</v>
      </c>
      <c r="BC54">
        <v>45</v>
      </c>
      <c r="BD54">
        <v>36</v>
      </c>
      <c r="BE54">
        <v>33</v>
      </c>
      <c r="BF54">
        <v>21</v>
      </c>
      <c r="BG54"/>
      <c r="BH54" t="str">
        <f t="shared" si="17"/>
        <v>3LightHeavyHeavy45</v>
      </c>
      <c r="BI54">
        <v>3</v>
      </c>
      <c r="BJ54" t="s">
        <v>20</v>
      </c>
      <c r="BK54" t="s">
        <v>37</v>
      </c>
      <c r="BL54" t="s">
        <v>37</v>
      </c>
      <c r="BM54">
        <v>45</v>
      </c>
      <c r="BN54">
        <v>9</v>
      </c>
      <c r="BO54">
        <v>35</v>
      </c>
      <c r="BP54">
        <v>16</v>
      </c>
      <c r="BQ54"/>
      <c r="BR54"/>
      <c r="BS54"/>
      <c r="BT54"/>
      <c r="BU54"/>
      <c r="BV54"/>
      <c r="BW54"/>
      <c r="BX54"/>
      <c r="BY54"/>
      <c r="BZ54"/>
      <c r="CA54"/>
      <c r="CB54">
        <v>3</v>
      </c>
      <c r="CC54" t="s">
        <v>37</v>
      </c>
      <c r="CD54" t="s">
        <v>36</v>
      </c>
      <c r="CE54" t="s">
        <v>36</v>
      </c>
      <c r="CF54" t="s">
        <v>37</v>
      </c>
      <c r="CG54">
        <v>45</v>
      </c>
      <c r="CH54">
        <v>39</v>
      </c>
      <c r="CI54">
        <v>35</v>
      </c>
      <c r="CJ54">
        <v>21</v>
      </c>
      <c r="CK54"/>
      <c r="CL54"/>
      <c r="CM54"/>
      <c r="CN54"/>
      <c r="CO54"/>
      <c r="CP54"/>
      <c r="CQ54"/>
      <c r="CR54"/>
      <c r="CS54"/>
      <c r="CT54"/>
      <c r="CU54"/>
      <c r="CV54"/>
      <c r="CW54"/>
      <c r="CX54"/>
      <c r="CY54"/>
    </row>
    <row r="55" spans="1:103 16384:16384" x14ac:dyDescent="0.25">
      <c r="P55" s="8" t="s">
        <v>48</v>
      </c>
      <c r="Q55" s="8">
        <v>0.5</v>
      </c>
      <c r="S55" s="8" t="str">
        <f t="shared" si="18"/>
        <v>AUrbanT4Exposed</v>
      </c>
      <c r="T55" s="8" t="s">
        <v>13</v>
      </c>
      <c r="U55" s="8" t="s">
        <v>27</v>
      </c>
      <c r="V55" s="8" t="s">
        <v>76</v>
      </c>
      <c r="W55" s="8" t="s">
        <v>14</v>
      </c>
      <c r="X55" s="8" t="s">
        <v>82</v>
      </c>
      <c r="Y55" s="8" t="s">
        <v>80</v>
      </c>
      <c r="AN55" s="8" t="str">
        <f t="shared" si="15"/>
        <v>3LightHeavyHeavy60</v>
      </c>
      <c r="AO55" s="8">
        <v>3</v>
      </c>
      <c r="AP55" s="8" t="s">
        <v>20</v>
      </c>
      <c r="AQ55" s="8" t="s">
        <v>37</v>
      </c>
      <c r="AR55" s="8" t="s">
        <v>37</v>
      </c>
      <c r="AS55" s="8">
        <v>60</v>
      </c>
      <c r="AT55" s="8">
        <v>30</v>
      </c>
      <c r="AU55" s="8">
        <v>20</v>
      </c>
      <c r="AW55" s="8" t="str">
        <f t="shared" si="16"/>
        <v>2HeavyMediumMediumHeavy60</v>
      </c>
      <c r="AX55" s="8">
        <v>2</v>
      </c>
      <c r="AY55" s="8" t="s">
        <v>37</v>
      </c>
      <c r="AZ55" s="8" t="s">
        <v>36</v>
      </c>
      <c r="BA55" s="8" t="s">
        <v>36</v>
      </c>
      <c r="BB55" s="8" t="s">
        <v>37</v>
      </c>
      <c r="BC55" s="8">
        <v>60</v>
      </c>
      <c r="BD55" s="8">
        <v>39</v>
      </c>
      <c r="BE55" s="8">
        <v>36</v>
      </c>
      <c r="BF55" s="8">
        <v>25</v>
      </c>
      <c r="BH55" s="8" t="str">
        <f t="shared" si="17"/>
        <v>3LightHeavyHeavy60</v>
      </c>
      <c r="BI55" s="8">
        <v>3</v>
      </c>
      <c r="BJ55" s="8" t="s">
        <v>20</v>
      </c>
      <c r="BK55" s="8" t="s">
        <v>37</v>
      </c>
      <c r="BL55" s="8" t="s">
        <v>37</v>
      </c>
      <c r="BM55" s="8">
        <v>60</v>
      </c>
      <c r="BN55" s="8">
        <v>11</v>
      </c>
      <c r="BO55" s="8">
        <v>36</v>
      </c>
      <c r="BP55" s="8">
        <v>17</v>
      </c>
      <c r="CB55" s="8">
        <v>3</v>
      </c>
      <c r="CC55" s="8" t="s">
        <v>37</v>
      </c>
      <c r="CD55" s="8" t="s">
        <v>36</v>
      </c>
      <c r="CE55" s="8" t="s">
        <v>36</v>
      </c>
      <c r="CF55" s="8" t="s">
        <v>37</v>
      </c>
      <c r="CG55" s="8">
        <v>60</v>
      </c>
      <c r="CH55" s="8">
        <v>42</v>
      </c>
      <c r="CI55" s="8">
        <v>39</v>
      </c>
      <c r="CJ55" s="8">
        <v>25</v>
      </c>
      <c r="XFD55" s="8">
        <f>SUM(A55:XFC55)</f>
        <v>571.5</v>
      </c>
    </row>
    <row r="56" spans="1:103 16384:16384" x14ac:dyDescent="0.25">
      <c r="P56" s="8" t="s">
        <v>50</v>
      </c>
      <c r="Q56" s="8">
        <v>0.5</v>
      </c>
      <c r="S56" s="8" t="str">
        <f t="shared" si="18"/>
        <v>AOpenT1Sheltered</v>
      </c>
      <c r="T56" s="8" t="s">
        <v>13</v>
      </c>
      <c r="U56" s="8" t="s">
        <v>78</v>
      </c>
      <c r="V56" s="8" t="s">
        <v>21</v>
      </c>
      <c r="W56" s="8" t="s">
        <v>77</v>
      </c>
      <c r="X56" s="8" t="s">
        <v>36</v>
      </c>
      <c r="Y56" s="8" t="s">
        <v>82</v>
      </c>
      <c r="AN56" s="8" t="str">
        <f t="shared" si="15"/>
        <v>3HeavyLightLight25</v>
      </c>
      <c r="AO56" s="8">
        <v>3</v>
      </c>
      <c r="AP56" s="8" t="s">
        <v>37</v>
      </c>
      <c r="AQ56" s="8" t="s">
        <v>20</v>
      </c>
      <c r="AR56" s="8" t="s">
        <v>20</v>
      </c>
      <c r="AS56" s="8">
        <v>25</v>
      </c>
      <c r="AT56" s="8">
        <v>21</v>
      </c>
      <c r="AU56" s="8">
        <v>16</v>
      </c>
      <c r="AW56" s="8" t="str">
        <f t="shared" si="16"/>
        <v>2HeavyMediumHeavyMedium25</v>
      </c>
      <c r="AX56" s="8">
        <v>2</v>
      </c>
      <c r="AY56" s="8" t="s">
        <v>37</v>
      </c>
      <c r="AZ56" s="8" t="s">
        <v>36</v>
      </c>
      <c r="BA56" s="8" t="s">
        <v>37</v>
      </c>
      <c r="BB56" s="8" t="s">
        <v>36</v>
      </c>
      <c r="BC56" s="8">
        <v>25</v>
      </c>
      <c r="BD56" s="8">
        <v>34</v>
      </c>
      <c r="BE56" s="8">
        <v>31</v>
      </c>
      <c r="BF56" s="8">
        <v>18</v>
      </c>
      <c r="BH56" s="8" t="str">
        <f t="shared" si="17"/>
        <v>3HeavyLightLight25</v>
      </c>
      <c r="BI56" s="8">
        <v>3</v>
      </c>
      <c r="BJ56" s="8" t="s">
        <v>37</v>
      </c>
      <c r="BK56" s="8" t="s">
        <v>20</v>
      </c>
      <c r="BL56" s="8" t="s">
        <v>20</v>
      </c>
      <c r="BM56" s="8">
        <v>25</v>
      </c>
      <c r="BN56" s="8">
        <v>10</v>
      </c>
      <c r="BO56" s="8">
        <v>21</v>
      </c>
      <c r="BP56" s="8">
        <v>14</v>
      </c>
      <c r="CB56" s="8">
        <v>3</v>
      </c>
      <c r="CC56" s="8" t="s">
        <v>37</v>
      </c>
      <c r="CD56" s="8" t="s">
        <v>36</v>
      </c>
      <c r="CE56" s="8" t="s">
        <v>37</v>
      </c>
      <c r="CF56" s="8" t="s">
        <v>36</v>
      </c>
      <c r="CG56" s="8">
        <v>25</v>
      </c>
      <c r="CH56" s="8">
        <v>37</v>
      </c>
      <c r="CI56" s="8">
        <v>33</v>
      </c>
      <c r="CJ56" s="8">
        <v>19</v>
      </c>
    </row>
    <row r="57" spans="1:103 16384:16384" hidden="1" x14ac:dyDescent="0.25">
      <c r="A57" s="8" t="s">
        <v>89</v>
      </c>
      <c r="B57" s="8" t="s">
        <v>88</v>
      </c>
      <c r="C57" s="8" t="s">
        <v>90</v>
      </c>
      <c r="P57" s="8" t="s">
        <v>51</v>
      </c>
      <c r="Q57" s="8">
        <v>0.6</v>
      </c>
      <c r="S57" s="8" t="str">
        <f t="shared" si="18"/>
        <v>AOpenT1Exposed</v>
      </c>
      <c r="T57" s="8" t="s">
        <v>13</v>
      </c>
      <c r="U57" s="8" t="s">
        <v>78</v>
      </c>
      <c r="V57" s="8" t="s">
        <v>21</v>
      </c>
      <c r="W57" s="8" t="s">
        <v>14</v>
      </c>
      <c r="X57" s="8" t="s">
        <v>71</v>
      </c>
      <c r="Y57" s="8" t="s">
        <v>80</v>
      </c>
      <c r="AN57" s="8" t="str">
        <f t="shared" si="15"/>
        <v>3HeavyLightLight45</v>
      </c>
      <c r="AO57" s="8">
        <v>3</v>
      </c>
      <c r="AP57" s="8" t="s">
        <v>37</v>
      </c>
      <c r="AQ57" s="8" t="s">
        <v>20</v>
      </c>
      <c r="AR57" s="8" t="s">
        <v>20</v>
      </c>
      <c r="AS57" s="8">
        <v>45</v>
      </c>
      <c r="AT57" s="8">
        <v>23</v>
      </c>
      <c r="AU57" s="8">
        <v>18</v>
      </c>
      <c r="AW57" s="8" t="str">
        <f t="shared" si="16"/>
        <v>2HeavyMediumHeavyMedium45</v>
      </c>
      <c r="AX57" s="8">
        <v>2</v>
      </c>
      <c r="AY57" s="8" t="s">
        <v>37</v>
      </c>
      <c r="AZ57" s="8" t="s">
        <v>36</v>
      </c>
      <c r="BA57" s="8" t="s">
        <v>37</v>
      </c>
      <c r="BB57" s="8" t="s">
        <v>36</v>
      </c>
      <c r="BC57" s="8">
        <v>45</v>
      </c>
      <c r="BD57" s="8">
        <v>36</v>
      </c>
      <c r="BE57" s="8">
        <v>33</v>
      </c>
      <c r="BF57" s="8">
        <v>21</v>
      </c>
      <c r="BH57" s="8" t="str">
        <f t="shared" si="17"/>
        <v>3HeavyLightLight45</v>
      </c>
      <c r="BI57" s="8">
        <v>3</v>
      </c>
      <c r="BJ57" s="8" t="s">
        <v>37</v>
      </c>
      <c r="BK57" s="8" t="s">
        <v>20</v>
      </c>
      <c r="BL57" s="8" t="s">
        <v>20</v>
      </c>
      <c r="BM57" s="8">
        <v>45</v>
      </c>
      <c r="BN57" s="8">
        <v>11</v>
      </c>
      <c r="BO57" s="8">
        <v>23</v>
      </c>
      <c r="BP57" s="8">
        <v>16</v>
      </c>
      <c r="CB57" s="8">
        <v>3</v>
      </c>
      <c r="CC57" s="8" t="s">
        <v>37</v>
      </c>
      <c r="CD57" s="8" t="s">
        <v>36</v>
      </c>
      <c r="CE57" s="8" t="s">
        <v>37</v>
      </c>
      <c r="CF57" s="8" t="s">
        <v>36</v>
      </c>
      <c r="CG57" s="8">
        <v>45</v>
      </c>
      <c r="CH57" s="8">
        <v>39</v>
      </c>
      <c r="CI57" s="8">
        <v>35</v>
      </c>
      <c r="CJ57" s="8">
        <v>21</v>
      </c>
    </row>
    <row r="58" spans="1:103 16384:16384" hidden="1" x14ac:dyDescent="0.25">
      <c r="A58" s="8" t="s">
        <v>195</v>
      </c>
      <c r="B58" s="11" t="s">
        <v>196</v>
      </c>
      <c r="C58" s="8" t="s">
        <v>197</v>
      </c>
      <c r="P58" s="8" t="s">
        <v>52</v>
      </c>
      <c r="Q58" s="8">
        <v>0.8</v>
      </c>
      <c r="S58" s="8" t="str">
        <f t="shared" si="18"/>
        <v>AOpenT2Sheltered</v>
      </c>
      <c r="T58" s="8" t="s">
        <v>13</v>
      </c>
      <c r="U58" s="8" t="s">
        <v>78</v>
      </c>
      <c r="V58" s="8" t="s">
        <v>74</v>
      </c>
      <c r="W58" s="8" t="s">
        <v>77</v>
      </c>
      <c r="X58" s="8" t="s">
        <v>71</v>
      </c>
      <c r="Y58" s="8" t="s">
        <v>80</v>
      </c>
      <c r="AN58" s="8" t="str">
        <f t="shared" si="15"/>
        <v>3HeavyLightLight60</v>
      </c>
      <c r="AO58" s="8">
        <v>3</v>
      </c>
      <c r="AP58" s="8" t="s">
        <v>37</v>
      </c>
      <c r="AQ58" s="8" t="s">
        <v>20</v>
      </c>
      <c r="AR58" s="8" t="s">
        <v>20</v>
      </c>
      <c r="AS58" s="8">
        <v>60</v>
      </c>
      <c r="AT58" s="8">
        <v>26</v>
      </c>
      <c r="AU58" s="8">
        <v>22</v>
      </c>
      <c r="AW58" s="8" t="str">
        <f t="shared" si="16"/>
        <v>2HeavyMediumHeavyMedium60</v>
      </c>
      <c r="AX58" s="8">
        <v>2</v>
      </c>
      <c r="AY58" s="8" t="s">
        <v>37</v>
      </c>
      <c r="AZ58" s="8" t="s">
        <v>36</v>
      </c>
      <c r="BA58" s="8" t="s">
        <v>37</v>
      </c>
      <c r="BB58" s="8" t="s">
        <v>36</v>
      </c>
      <c r="BC58" s="8">
        <v>60</v>
      </c>
      <c r="BD58" s="8">
        <v>39</v>
      </c>
      <c r="BE58" s="8">
        <v>36</v>
      </c>
      <c r="BF58" s="8">
        <v>25</v>
      </c>
      <c r="BH58" s="8" t="str">
        <f t="shared" si="17"/>
        <v>3HeavyLightLight60</v>
      </c>
      <c r="BI58" s="8">
        <v>3</v>
      </c>
      <c r="BJ58" s="8" t="s">
        <v>37</v>
      </c>
      <c r="BK58" s="8" t="s">
        <v>20</v>
      </c>
      <c r="BL58" s="8" t="s">
        <v>20</v>
      </c>
      <c r="BM58" s="8">
        <v>60</v>
      </c>
      <c r="BN58" s="8">
        <v>15</v>
      </c>
      <c r="BO58" s="8">
        <v>26</v>
      </c>
      <c r="BP58" s="8">
        <v>19</v>
      </c>
      <c r="CB58" s="8">
        <v>3</v>
      </c>
      <c r="CC58" s="8" t="s">
        <v>37</v>
      </c>
      <c r="CD58" s="8" t="s">
        <v>36</v>
      </c>
      <c r="CE58" s="8" t="s">
        <v>37</v>
      </c>
      <c r="CF58" s="8" t="s">
        <v>36</v>
      </c>
      <c r="CG58" s="8">
        <v>60</v>
      </c>
      <c r="CH58" s="8">
        <v>42</v>
      </c>
      <c r="CI58" s="8">
        <v>39</v>
      </c>
      <c r="CJ58" s="8">
        <v>25</v>
      </c>
    </row>
    <row r="59" spans="1:103 16384:16384" hidden="1" x14ac:dyDescent="0.25">
      <c r="P59" s="8" t="s">
        <v>53</v>
      </c>
      <c r="Q59" s="8">
        <v>0.8</v>
      </c>
      <c r="S59" s="8" t="str">
        <f t="shared" si="18"/>
        <v>AOpenT2Exposed</v>
      </c>
      <c r="T59" s="8" t="s">
        <v>13</v>
      </c>
      <c r="U59" s="8" t="s">
        <v>78</v>
      </c>
      <c r="V59" s="8" t="s">
        <v>74</v>
      </c>
      <c r="W59" s="8" t="s">
        <v>14</v>
      </c>
      <c r="X59" s="8" t="s">
        <v>82</v>
      </c>
      <c r="Y59" s="8" t="s">
        <v>80</v>
      </c>
      <c r="AD59" s="8" t="s">
        <v>163</v>
      </c>
      <c r="AN59" s="8" t="str">
        <f t="shared" si="15"/>
        <v>3HeavyLightMedium25</v>
      </c>
      <c r="AO59" s="8">
        <v>3</v>
      </c>
      <c r="AP59" s="8" t="s">
        <v>37</v>
      </c>
      <c r="AQ59" s="8" t="s">
        <v>20</v>
      </c>
      <c r="AR59" s="8" t="s">
        <v>36</v>
      </c>
      <c r="AS59" s="8">
        <v>25</v>
      </c>
      <c r="AT59" s="8">
        <v>21</v>
      </c>
      <c r="AU59" s="8">
        <v>16</v>
      </c>
      <c r="AW59" s="8" t="str">
        <f t="shared" ref="AW59:AW64" si="19">AX59&amp;AY59&amp;AZ59&amp;BA59&amp;BB59&amp;BC59</f>
        <v>2HeavyMediumHeavyHeavy25</v>
      </c>
      <c r="AX59" s="8">
        <v>2</v>
      </c>
      <c r="AY59" s="8" t="s">
        <v>37</v>
      </c>
      <c r="AZ59" s="8" t="s">
        <v>36</v>
      </c>
      <c r="BA59" s="8" t="s">
        <v>37</v>
      </c>
      <c r="BB59" s="8" t="s">
        <v>37</v>
      </c>
      <c r="BC59" s="8">
        <v>25</v>
      </c>
      <c r="BD59" s="8">
        <v>34</v>
      </c>
      <c r="BE59" s="8">
        <v>31</v>
      </c>
      <c r="BF59" s="8">
        <v>18</v>
      </c>
      <c r="BH59" s="8" t="str">
        <f t="shared" si="17"/>
        <v>3HeavyLightMedium25</v>
      </c>
      <c r="BI59" s="8">
        <v>3</v>
      </c>
      <c r="BJ59" s="8" t="s">
        <v>37</v>
      </c>
      <c r="BK59" s="8" t="s">
        <v>20</v>
      </c>
      <c r="BL59" s="8" t="s">
        <v>36</v>
      </c>
      <c r="BM59" s="8">
        <v>25</v>
      </c>
      <c r="BN59" s="12" t="s">
        <v>69</v>
      </c>
      <c r="BO59" s="8">
        <v>23</v>
      </c>
      <c r="BP59" s="8">
        <v>14</v>
      </c>
      <c r="CB59" s="8">
        <v>3</v>
      </c>
      <c r="CC59" s="8" t="s">
        <v>37</v>
      </c>
      <c r="CD59" s="8" t="s">
        <v>36</v>
      </c>
      <c r="CE59" s="8" t="s">
        <v>37</v>
      </c>
      <c r="CF59" s="8" t="s">
        <v>37</v>
      </c>
      <c r="CG59" s="8">
        <v>25</v>
      </c>
      <c r="CH59" s="8">
        <v>37</v>
      </c>
      <c r="CI59" s="8">
        <v>33</v>
      </c>
      <c r="CJ59" s="8">
        <v>19</v>
      </c>
    </row>
    <row r="60" spans="1:103 16384:16384" hidden="1" x14ac:dyDescent="0.25">
      <c r="P60" s="8" t="s">
        <v>54</v>
      </c>
      <c r="Q60" s="8">
        <v>0.6</v>
      </c>
      <c r="S60" s="8" t="str">
        <f t="shared" si="18"/>
        <v>AOpenT3Sheltered</v>
      </c>
      <c r="T60" s="8" t="s">
        <v>13</v>
      </c>
      <c r="U60" s="8" t="s">
        <v>78</v>
      </c>
      <c r="V60" s="8" t="s">
        <v>75</v>
      </c>
      <c r="W60" s="8" t="s">
        <v>77</v>
      </c>
      <c r="X60" s="8" t="s">
        <v>71</v>
      </c>
      <c r="Y60" s="8" t="s">
        <v>80</v>
      </c>
      <c r="AD60" s="8">
        <f>IF(AND(C7="Single",C13+C15&gt;C12),1,0)</f>
        <v>0</v>
      </c>
      <c r="AE60" s="8">
        <f>IF(C7="Single",AD60,AD61)</f>
        <v>1</v>
      </c>
      <c r="AN60" s="8" t="str">
        <f t="shared" si="15"/>
        <v>3HeavyLightMedium45</v>
      </c>
      <c r="AO60" s="8">
        <v>3</v>
      </c>
      <c r="AP60" s="8" t="s">
        <v>37</v>
      </c>
      <c r="AQ60" s="8" t="s">
        <v>20</v>
      </c>
      <c r="AR60" s="8" t="s">
        <v>36</v>
      </c>
      <c r="AS60" s="8">
        <v>45</v>
      </c>
      <c r="AT60" s="8">
        <v>23</v>
      </c>
      <c r="AU60" s="8">
        <v>18</v>
      </c>
      <c r="AW60" s="8" t="str">
        <f t="shared" si="19"/>
        <v>2HeavyMediumHeavyHeavy45</v>
      </c>
      <c r="AX60" s="8">
        <v>2</v>
      </c>
      <c r="AY60" s="8" t="s">
        <v>37</v>
      </c>
      <c r="AZ60" s="8" t="s">
        <v>36</v>
      </c>
      <c r="BA60" s="8" t="s">
        <v>37</v>
      </c>
      <c r="BB60" s="8" t="s">
        <v>37</v>
      </c>
      <c r="BC60" s="8">
        <v>45</v>
      </c>
      <c r="BD60" s="8">
        <v>36</v>
      </c>
      <c r="BE60" s="8">
        <v>33</v>
      </c>
      <c r="BF60" s="8">
        <v>21</v>
      </c>
      <c r="BH60" s="8" t="str">
        <f t="shared" si="17"/>
        <v>3HeavyLightMedium45</v>
      </c>
      <c r="BI60" s="8">
        <v>3</v>
      </c>
      <c r="BJ60" s="8" t="s">
        <v>37</v>
      </c>
      <c r="BK60" s="8" t="s">
        <v>20</v>
      </c>
      <c r="BL60" s="8" t="s">
        <v>36</v>
      </c>
      <c r="BM60" s="8">
        <v>45</v>
      </c>
      <c r="BN60" s="12" t="s">
        <v>69</v>
      </c>
      <c r="BO60" s="8">
        <v>25</v>
      </c>
      <c r="BP60" s="8">
        <v>16</v>
      </c>
      <c r="CB60" s="8">
        <v>3</v>
      </c>
      <c r="CC60" s="8" t="s">
        <v>37</v>
      </c>
      <c r="CD60" s="8" t="s">
        <v>36</v>
      </c>
      <c r="CE60" s="8" t="s">
        <v>37</v>
      </c>
      <c r="CF60" s="8" t="s">
        <v>37</v>
      </c>
      <c r="CG60" s="8">
        <v>45</v>
      </c>
      <c r="CH60" s="8">
        <v>39</v>
      </c>
      <c r="CI60" s="8">
        <v>35</v>
      </c>
      <c r="CJ60" s="8">
        <v>21</v>
      </c>
    </row>
    <row r="61" spans="1:103 16384:16384" hidden="1" x14ac:dyDescent="0.25">
      <c r="A61" s="8" t="s">
        <v>89</v>
      </c>
      <c r="B61" s="8" t="s">
        <v>88</v>
      </c>
      <c r="C61" s="8" t="s">
        <v>90</v>
      </c>
      <c r="P61" s="8" t="s">
        <v>49</v>
      </c>
      <c r="Q61" s="8">
        <v>0.6</v>
      </c>
      <c r="S61" s="8" t="str">
        <f t="shared" si="18"/>
        <v>AOpenT3Exposed</v>
      </c>
      <c r="T61" s="8" t="s">
        <v>13</v>
      </c>
      <c r="U61" s="8" t="s">
        <v>78</v>
      </c>
      <c r="V61" s="8" t="s">
        <v>75</v>
      </c>
      <c r="W61" s="8" t="s">
        <v>14</v>
      </c>
      <c r="X61" s="8" t="s">
        <v>82</v>
      </c>
      <c r="Y61" s="8" t="s">
        <v>80</v>
      </c>
      <c r="AD61" s="8">
        <f>IF(AND(C7="Double",C13+C14+C15+C16&gt;C12),1,0)</f>
        <v>1</v>
      </c>
      <c r="AN61" s="8" t="str">
        <f t="shared" si="15"/>
        <v>3HeavyLightMedium60</v>
      </c>
      <c r="AO61" s="8">
        <v>3</v>
      </c>
      <c r="AP61" s="8" t="s">
        <v>37</v>
      </c>
      <c r="AQ61" s="8" t="s">
        <v>20</v>
      </c>
      <c r="AR61" s="8" t="s">
        <v>36</v>
      </c>
      <c r="AS61" s="8">
        <v>60</v>
      </c>
      <c r="AT61" s="8">
        <v>26</v>
      </c>
      <c r="AU61" s="8">
        <v>22</v>
      </c>
      <c r="AW61" s="8" t="str">
        <f t="shared" si="19"/>
        <v>2HeavyMediumHeavyHeavy60</v>
      </c>
      <c r="AX61" s="8">
        <v>2</v>
      </c>
      <c r="AY61" s="8" t="s">
        <v>37</v>
      </c>
      <c r="AZ61" s="8" t="s">
        <v>36</v>
      </c>
      <c r="BA61" s="8" t="s">
        <v>37</v>
      </c>
      <c r="BB61" s="8" t="s">
        <v>37</v>
      </c>
      <c r="BC61" s="8">
        <v>60</v>
      </c>
      <c r="BD61" s="8">
        <v>39</v>
      </c>
      <c r="BE61" s="8">
        <v>36</v>
      </c>
      <c r="BF61" s="8">
        <v>25</v>
      </c>
      <c r="BH61" s="8" t="str">
        <f t="shared" si="17"/>
        <v>3HeavyLightMedium60</v>
      </c>
      <c r="BI61" s="8">
        <v>3</v>
      </c>
      <c r="BJ61" s="8" t="s">
        <v>37</v>
      </c>
      <c r="BK61" s="8" t="s">
        <v>20</v>
      </c>
      <c r="BL61" s="8" t="s">
        <v>36</v>
      </c>
      <c r="BM61" s="8">
        <v>60</v>
      </c>
      <c r="BN61" s="12" t="s">
        <v>69</v>
      </c>
      <c r="BO61" s="8">
        <v>28</v>
      </c>
      <c r="BP61" s="8">
        <v>20</v>
      </c>
      <c r="CB61" s="8">
        <v>3</v>
      </c>
      <c r="CC61" s="8" t="s">
        <v>37</v>
      </c>
      <c r="CD61" s="8" t="s">
        <v>36</v>
      </c>
      <c r="CE61" s="8" t="s">
        <v>37</v>
      </c>
      <c r="CF61" s="8" t="s">
        <v>37</v>
      </c>
      <c r="CG61" s="8">
        <v>60</v>
      </c>
      <c r="CH61" s="8">
        <v>42</v>
      </c>
      <c r="CI61" s="8">
        <v>39</v>
      </c>
      <c r="CJ61" s="8">
        <v>25</v>
      </c>
    </row>
    <row r="62" spans="1:103 16384:16384" hidden="1" x14ac:dyDescent="0.25">
      <c r="A62" s="8" t="s">
        <v>207</v>
      </c>
      <c r="B62" s="22">
        <v>44942</v>
      </c>
      <c r="C62" s="8" t="s">
        <v>208</v>
      </c>
      <c r="P62" s="8" t="s">
        <v>55</v>
      </c>
      <c r="Q62" s="8">
        <v>0.7</v>
      </c>
      <c r="S62" s="8" t="str">
        <f t="shared" si="18"/>
        <v>AOpenT4Sheltered</v>
      </c>
      <c r="T62" s="8" t="s">
        <v>13</v>
      </c>
      <c r="U62" s="8" t="s">
        <v>78</v>
      </c>
      <c r="V62" s="8" t="s">
        <v>76</v>
      </c>
      <c r="W62" s="8" t="s">
        <v>77</v>
      </c>
      <c r="X62" s="8" t="s">
        <v>82</v>
      </c>
      <c r="Y62" s="8" t="s">
        <v>80</v>
      </c>
      <c r="AN62" s="8" t="str">
        <f t="shared" si="15"/>
        <v>3HeavyLightHeavy25</v>
      </c>
      <c r="AO62" s="8">
        <v>3</v>
      </c>
      <c r="AP62" s="8" t="s">
        <v>37</v>
      </c>
      <c r="AQ62" s="8" t="s">
        <v>20</v>
      </c>
      <c r="AR62" s="8" t="s">
        <v>37</v>
      </c>
      <c r="AS62" s="8">
        <v>25</v>
      </c>
      <c r="AT62" s="8">
        <v>23</v>
      </c>
      <c r="AU62" s="8">
        <v>17</v>
      </c>
      <c r="AW62" s="8" t="str">
        <f t="shared" si="19"/>
        <v>2HeavyHeavyHeavyHeavy25</v>
      </c>
      <c r="AX62" s="8">
        <v>2</v>
      </c>
      <c r="AY62" s="8" t="s">
        <v>37</v>
      </c>
      <c r="AZ62" s="8" t="s">
        <v>37</v>
      </c>
      <c r="BA62" s="8" t="s">
        <v>37</v>
      </c>
      <c r="BB62" s="8" t="s">
        <v>37</v>
      </c>
      <c r="BC62" s="8">
        <v>25</v>
      </c>
      <c r="BD62" s="8">
        <v>52</v>
      </c>
      <c r="BE62" s="8">
        <v>47</v>
      </c>
      <c r="BF62" s="8">
        <v>24</v>
      </c>
      <c r="BH62" s="8" t="str">
        <f t="shared" si="17"/>
        <v>3HeavyLightHeavy25</v>
      </c>
      <c r="BI62" s="8">
        <v>3</v>
      </c>
      <c r="BJ62" s="8" t="s">
        <v>37</v>
      </c>
      <c r="BK62" s="8" t="s">
        <v>20</v>
      </c>
      <c r="BL62" s="8" t="s">
        <v>37</v>
      </c>
      <c r="BM62" s="8">
        <v>25</v>
      </c>
      <c r="BN62" s="12" t="s">
        <v>69</v>
      </c>
      <c r="BO62" s="8">
        <v>28</v>
      </c>
      <c r="BP62" s="8">
        <v>15</v>
      </c>
      <c r="CB62" s="8">
        <v>3</v>
      </c>
      <c r="CC62" s="8" t="s">
        <v>37</v>
      </c>
      <c r="CD62" s="8" t="s">
        <v>37</v>
      </c>
      <c r="CE62" s="8" t="s">
        <v>37</v>
      </c>
      <c r="CF62" s="8" t="s">
        <v>37</v>
      </c>
      <c r="CG62" s="8">
        <v>25</v>
      </c>
      <c r="CH62" s="8">
        <v>55</v>
      </c>
      <c r="CI62" s="8">
        <v>50</v>
      </c>
      <c r="CJ62" s="8">
        <v>25</v>
      </c>
    </row>
    <row r="63" spans="1:103 16384:16384" x14ac:dyDescent="0.25">
      <c r="P63" s="8" t="s">
        <v>56</v>
      </c>
      <c r="Q63" s="8">
        <v>1</v>
      </c>
      <c r="S63" s="8" t="str">
        <f t="shared" si="18"/>
        <v>AOpenT4Exposed</v>
      </c>
      <c r="T63" s="8" t="s">
        <v>13</v>
      </c>
      <c r="U63" s="8" t="s">
        <v>78</v>
      </c>
      <c r="V63" s="8" t="s">
        <v>76</v>
      </c>
      <c r="W63" s="8" t="s">
        <v>14</v>
      </c>
      <c r="X63" s="8" t="s">
        <v>72</v>
      </c>
      <c r="Y63" s="8" t="s">
        <v>80</v>
      </c>
      <c r="AN63" s="8" t="str">
        <f t="shared" si="15"/>
        <v>3HeavyLightHeavy45</v>
      </c>
      <c r="AO63" s="8">
        <v>3</v>
      </c>
      <c r="AP63" s="8" t="s">
        <v>37</v>
      </c>
      <c r="AQ63" s="8" t="s">
        <v>20</v>
      </c>
      <c r="AR63" s="8" t="s">
        <v>37</v>
      </c>
      <c r="AS63" s="8">
        <v>45</v>
      </c>
      <c r="AT63" s="8">
        <v>25</v>
      </c>
      <c r="AU63" s="8">
        <v>19</v>
      </c>
      <c r="AW63" s="8" t="str">
        <f t="shared" si="19"/>
        <v>2HeavyHeavyHeavyHeavy45</v>
      </c>
      <c r="AX63" s="8">
        <v>2</v>
      </c>
      <c r="AY63" s="8" t="s">
        <v>37</v>
      </c>
      <c r="AZ63" s="8" t="s">
        <v>37</v>
      </c>
      <c r="BA63" s="8" t="s">
        <v>37</v>
      </c>
      <c r="BB63" s="8" t="s">
        <v>37</v>
      </c>
      <c r="BC63" s="8">
        <v>45</v>
      </c>
      <c r="BD63" s="8">
        <v>54</v>
      </c>
      <c r="BE63" s="8">
        <v>49</v>
      </c>
      <c r="BF63" s="8">
        <v>27</v>
      </c>
      <c r="BH63" s="8" t="str">
        <f t="shared" si="17"/>
        <v>3HeavyLightHeavy45</v>
      </c>
      <c r="BI63" s="8">
        <v>3</v>
      </c>
      <c r="BJ63" s="8" t="s">
        <v>37</v>
      </c>
      <c r="BK63" s="8" t="s">
        <v>20</v>
      </c>
      <c r="BL63" s="8" t="s">
        <v>37</v>
      </c>
      <c r="BM63" s="8">
        <v>45</v>
      </c>
      <c r="BN63" s="12" t="s">
        <v>69</v>
      </c>
      <c r="BO63" s="8">
        <v>30</v>
      </c>
      <c r="BP63" s="8">
        <v>17</v>
      </c>
      <c r="CB63" s="8">
        <v>3</v>
      </c>
      <c r="CC63" s="8" t="s">
        <v>37</v>
      </c>
      <c r="CD63" s="8" t="s">
        <v>37</v>
      </c>
      <c r="CE63" s="8" t="s">
        <v>37</v>
      </c>
      <c r="CF63" s="8" t="s">
        <v>37</v>
      </c>
      <c r="CG63" s="8">
        <v>45</v>
      </c>
      <c r="CH63" s="8">
        <v>57</v>
      </c>
      <c r="CI63" s="8">
        <v>52</v>
      </c>
      <c r="CJ63" s="8">
        <v>27</v>
      </c>
    </row>
    <row r="64" spans="1:103 16384:16384" x14ac:dyDescent="0.25">
      <c r="P64" s="8" t="s">
        <v>58</v>
      </c>
      <c r="Q64" s="8">
        <v>1</v>
      </c>
      <c r="S64" s="8" t="str">
        <f t="shared" si="18"/>
        <v>WUrbanT1Sheltered</v>
      </c>
      <c r="T64" s="8" t="s">
        <v>79</v>
      </c>
      <c r="U64" s="8" t="s">
        <v>27</v>
      </c>
      <c r="V64" s="8" t="s">
        <v>21</v>
      </c>
      <c r="W64" s="8" t="s">
        <v>77</v>
      </c>
      <c r="X64" s="8" t="s">
        <v>36</v>
      </c>
      <c r="Y64" s="8" t="s">
        <v>82</v>
      </c>
      <c r="AN64" s="8" t="str">
        <f t="shared" si="15"/>
        <v>3HeavyLightHeavy60</v>
      </c>
      <c r="AO64" s="8">
        <v>3</v>
      </c>
      <c r="AP64" s="8" t="s">
        <v>37</v>
      </c>
      <c r="AQ64" s="8" t="s">
        <v>20</v>
      </c>
      <c r="AR64" s="8" t="s">
        <v>37</v>
      </c>
      <c r="AS64" s="8">
        <v>60</v>
      </c>
      <c r="AT64" s="8">
        <v>28</v>
      </c>
      <c r="AU64" s="8">
        <v>23</v>
      </c>
      <c r="AW64" s="8" t="str">
        <f t="shared" si="19"/>
        <v>2HeavyHeavyHeavyHeavy60</v>
      </c>
      <c r="AX64" s="8">
        <v>2</v>
      </c>
      <c r="AY64" s="8" t="s">
        <v>37</v>
      </c>
      <c r="AZ64" s="8" t="s">
        <v>37</v>
      </c>
      <c r="BA64" s="8" t="s">
        <v>37</v>
      </c>
      <c r="BB64" s="8" t="s">
        <v>37</v>
      </c>
      <c r="BC64" s="8">
        <v>60</v>
      </c>
      <c r="BD64" s="8">
        <v>57</v>
      </c>
      <c r="BE64" s="8">
        <v>53</v>
      </c>
      <c r="BF64" s="8">
        <v>31</v>
      </c>
      <c r="BH64" s="8" t="str">
        <f t="shared" si="17"/>
        <v>3HeavyLightHeavy60</v>
      </c>
      <c r="BI64" s="8">
        <v>3</v>
      </c>
      <c r="BJ64" s="8" t="s">
        <v>37</v>
      </c>
      <c r="BK64" s="8" t="s">
        <v>20</v>
      </c>
      <c r="BL64" s="8" t="s">
        <v>37</v>
      </c>
      <c r="BM64" s="8">
        <v>60</v>
      </c>
      <c r="BN64" s="12" t="s">
        <v>69</v>
      </c>
      <c r="BO64" s="8">
        <v>33</v>
      </c>
      <c r="BP64" s="8">
        <v>21</v>
      </c>
      <c r="CB64" s="8">
        <v>3</v>
      </c>
      <c r="CC64" s="8" t="s">
        <v>37</v>
      </c>
      <c r="CD64" s="8" t="s">
        <v>37</v>
      </c>
      <c r="CE64" s="8" t="s">
        <v>37</v>
      </c>
      <c r="CF64" s="8" t="s">
        <v>37</v>
      </c>
      <c r="CG64" s="8">
        <v>60</v>
      </c>
      <c r="CH64" s="8">
        <v>60</v>
      </c>
      <c r="CI64" s="8">
        <v>55</v>
      </c>
      <c r="CJ64" s="8">
        <v>32</v>
      </c>
    </row>
    <row r="65" spans="16:68" x14ac:dyDescent="0.25">
      <c r="P65" s="8" t="s">
        <v>59</v>
      </c>
      <c r="Q65" s="8">
        <v>0.9</v>
      </c>
      <c r="S65" s="8" t="str">
        <f t="shared" si="18"/>
        <v>WUrbanT1Exposed</v>
      </c>
      <c r="T65" s="8" t="s">
        <v>79</v>
      </c>
      <c r="U65" s="8" t="s">
        <v>27</v>
      </c>
      <c r="V65" s="8" t="s">
        <v>21</v>
      </c>
      <c r="W65" s="8" t="s">
        <v>14</v>
      </c>
      <c r="X65" s="8" t="s">
        <v>71</v>
      </c>
      <c r="Y65" s="8" t="s">
        <v>80</v>
      </c>
      <c r="AN65" s="8" t="str">
        <f t="shared" si="15"/>
        <v>3HeavyMediumMedium25</v>
      </c>
      <c r="AO65" s="8">
        <v>3</v>
      </c>
      <c r="AP65" s="8" t="s">
        <v>37</v>
      </c>
      <c r="AQ65" s="8" t="s">
        <v>36</v>
      </c>
      <c r="AR65" s="8" t="s">
        <v>36</v>
      </c>
      <c r="AS65" s="8">
        <v>25</v>
      </c>
      <c r="AT65" s="8">
        <v>23</v>
      </c>
      <c r="AU65" s="8">
        <v>18</v>
      </c>
      <c r="AW65" s="8" t="str">
        <f t="shared" ref="AW65:AW127" si="20">AX65&amp;AY65&amp;AZ65&amp;BA65&amp;BB65&amp;BC65</f>
        <v>3LightLightLightLight25</v>
      </c>
      <c r="AX65" s="8">
        <v>3</v>
      </c>
      <c r="AY65" s="8" t="s">
        <v>20</v>
      </c>
      <c r="AZ65" s="8" t="s">
        <v>20</v>
      </c>
      <c r="BA65" s="8" t="s">
        <v>20</v>
      </c>
      <c r="BB65" s="8" t="s">
        <v>20</v>
      </c>
      <c r="BC65" s="8">
        <v>25</v>
      </c>
      <c r="BD65" s="8">
        <v>26</v>
      </c>
      <c r="BE65" s="8">
        <v>23</v>
      </c>
      <c r="BF65" s="8">
        <v>11</v>
      </c>
      <c r="BH65" s="8" t="str">
        <f t="shared" si="17"/>
        <v>3HeavyMediumMedium25</v>
      </c>
      <c r="BI65" s="8">
        <v>3</v>
      </c>
      <c r="BJ65" s="8" t="s">
        <v>37</v>
      </c>
      <c r="BK65" s="8" t="s">
        <v>36</v>
      </c>
      <c r="BL65" s="8" t="s">
        <v>36</v>
      </c>
      <c r="BM65" s="8">
        <v>25</v>
      </c>
      <c r="BN65" s="8">
        <v>11</v>
      </c>
      <c r="BO65" s="8">
        <v>25</v>
      </c>
      <c r="BP65" s="8">
        <v>15</v>
      </c>
    </row>
    <row r="66" spans="16:68" x14ac:dyDescent="0.25">
      <c r="P66" s="8" t="s">
        <v>60</v>
      </c>
      <c r="Q66" s="8">
        <v>0.9</v>
      </c>
      <c r="S66" s="8" t="str">
        <f t="shared" si="18"/>
        <v>WUrbanT2Sheltered</v>
      </c>
      <c r="T66" s="8" t="s">
        <v>79</v>
      </c>
      <c r="U66" s="8" t="s">
        <v>27</v>
      </c>
      <c r="V66" s="8" t="s">
        <v>74</v>
      </c>
      <c r="W66" s="8" t="s">
        <v>77</v>
      </c>
      <c r="X66" s="8" t="s">
        <v>71</v>
      </c>
      <c r="Y66" s="8" t="s">
        <v>80</v>
      </c>
      <c r="AN66" s="8" t="str">
        <f t="shared" si="15"/>
        <v>3HeavyMediumMedium45</v>
      </c>
      <c r="AO66" s="8">
        <v>3</v>
      </c>
      <c r="AP66" s="8" t="s">
        <v>37</v>
      </c>
      <c r="AQ66" s="8" t="s">
        <v>36</v>
      </c>
      <c r="AR66" s="8" t="s">
        <v>36</v>
      </c>
      <c r="AS66" s="8">
        <v>45</v>
      </c>
      <c r="AT66" s="8">
        <v>25</v>
      </c>
      <c r="AU66" s="8">
        <v>20</v>
      </c>
      <c r="AW66" s="8" t="str">
        <f t="shared" si="20"/>
        <v>3LightLightLightLight45</v>
      </c>
      <c r="AX66" s="8">
        <v>3</v>
      </c>
      <c r="AY66" s="8" t="s">
        <v>20</v>
      </c>
      <c r="AZ66" s="8" t="s">
        <v>20</v>
      </c>
      <c r="BA66" s="8" t="s">
        <v>20</v>
      </c>
      <c r="BB66" s="8" t="s">
        <v>20</v>
      </c>
      <c r="BC66" s="8">
        <v>45</v>
      </c>
      <c r="BD66" s="8">
        <v>27</v>
      </c>
      <c r="BE66" s="8">
        <v>24</v>
      </c>
      <c r="BF66" s="8">
        <v>12</v>
      </c>
      <c r="BH66" s="8" t="str">
        <f t="shared" si="17"/>
        <v>3HeavyMediumMedium45</v>
      </c>
      <c r="BI66" s="8">
        <v>3</v>
      </c>
      <c r="BJ66" s="8" t="s">
        <v>37</v>
      </c>
      <c r="BK66" s="8" t="s">
        <v>36</v>
      </c>
      <c r="BL66" s="8" t="s">
        <v>36</v>
      </c>
      <c r="BM66" s="8">
        <v>45</v>
      </c>
      <c r="BN66" s="8">
        <v>12</v>
      </c>
      <c r="BO66" s="8">
        <v>27</v>
      </c>
      <c r="BP66" s="8">
        <v>17</v>
      </c>
    </row>
    <row r="67" spans="16:68" x14ac:dyDescent="0.25">
      <c r="P67" s="8" t="s">
        <v>61</v>
      </c>
      <c r="Q67" s="8">
        <v>1.1000000000000001</v>
      </c>
      <c r="S67" s="8" t="str">
        <f t="shared" si="18"/>
        <v>WUrbanT2Exposed</v>
      </c>
      <c r="T67" s="8" t="s">
        <v>79</v>
      </c>
      <c r="U67" s="8" t="s">
        <v>27</v>
      </c>
      <c r="V67" s="8" t="s">
        <v>74</v>
      </c>
      <c r="W67" s="8" t="s">
        <v>14</v>
      </c>
      <c r="X67" s="8" t="s">
        <v>82</v>
      </c>
      <c r="Y67" s="8" t="s">
        <v>80</v>
      </c>
      <c r="AN67" s="8" t="str">
        <f t="shared" si="15"/>
        <v>3HeavyMediumMedium60</v>
      </c>
      <c r="AO67" s="8">
        <v>3</v>
      </c>
      <c r="AP67" s="8" t="s">
        <v>37</v>
      </c>
      <c r="AQ67" s="8" t="s">
        <v>36</v>
      </c>
      <c r="AR67" s="8" t="s">
        <v>36</v>
      </c>
      <c r="AS67" s="8">
        <v>60</v>
      </c>
      <c r="AT67" s="8">
        <v>28</v>
      </c>
      <c r="AU67" s="8">
        <v>23</v>
      </c>
      <c r="AW67" s="8" t="str">
        <f t="shared" si="20"/>
        <v>3LightLightLightLight60</v>
      </c>
      <c r="AX67" s="8">
        <v>3</v>
      </c>
      <c r="AY67" s="8" t="s">
        <v>20</v>
      </c>
      <c r="AZ67" s="8" t="s">
        <v>20</v>
      </c>
      <c r="BA67" s="8" t="s">
        <v>20</v>
      </c>
      <c r="BB67" s="8" t="s">
        <v>20</v>
      </c>
      <c r="BC67" s="8">
        <v>60</v>
      </c>
      <c r="BD67" s="8">
        <v>28</v>
      </c>
      <c r="BE67" s="8">
        <v>15</v>
      </c>
      <c r="BF67" s="8">
        <v>14</v>
      </c>
      <c r="BH67" s="8" t="str">
        <f t="shared" si="17"/>
        <v>3HeavyMediumMedium60</v>
      </c>
      <c r="BI67" s="8">
        <v>3</v>
      </c>
      <c r="BJ67" s="8" t="s">
        <v>37</v>
      </c>
      <c r="BK67" s="8" t="s">
        <v>36</v>
      </c>
      <c r="BL67" s="8" t="s">
        <v>36</v>
      </c>
      <c r="BM67" s="8">
        <v>60</v>
      </c>
      <c r="BN67" s="8">
        <v>16</v>
      </c>
      <c r="BO67" s="8">
        <v>30</v>
      </c>
      <c r="BP67" s="8">
        <v>21</v>
      </c>
    </row>
    <row r="68" spans="16:68" x14ac:dyDescent="0.25">
      <c r="P68" s="8" t="s">
        <v>62</v>
      </c>
      <c r="Q68" s="8">
        <v>1.5</v>
      </c>
      <c r="S68" s="8" t="str">
        <f t="shared" si="18"/>
        <v>WUrbanT3Sheltered</v>
      </c>
      <c r="T68" s="8" t="s">
        <v>79</v>
      </c>
      <c r="U68" s="8" t="s">
        <v>27</v>
      </c>
      <c r="V68" s="8" t="s">
        <v>75</v>
      </c>
      <c r="W68" s="8" t="s">
        <v>77</v>
      </c>
      <c r="X68" s="8" t="s">
        <v>71</v>
      </c>
      <c r="Y68" s="8" t="s">
        <v>80</v>
      </c>
      <c r="AN68" s="8" t="str">
        <f t="shared" si="15"/>
        <v>3HeavyMediumHeavy25</v>
      </c>
      <c r="AO68" s="8">
        <v>3</v>
      </c>
      <c r="AP68" s="8" t="s">
        <v>37</v>
      </c>
      <c r="AQ68" s="8" t="s">
        <v>36</v>
      </c>
      <c r="AR68" s="8" t="s">
        <v>37</v>
      </c>
      <c r="AS68" s="8">
        <v>25</v>
      </c>
      <c r="AT68" s="8">
        <v>23</v>
      </c>
      <c r="AU68" s="8">
        <v>18</v>
      </c>
      <c r="AW68" s="8" t="str">
        <f t="shared" si="20"/>
        <v>3LightLightLightMedium25</v>
      </c>
      <c r="AX68" s="8">
        <v>3</v>
      </c>
      <c r="AY68" s="8" t="s">
        <v>20</v>
      </c>
      <c r="AZ68" s="8" t="s">
        <v>20</v>
      </c>
      <c r="BA68" s="8" t="s">
        <v>20</v>
      </c>
      <c r="BB68" s="8" t="s">
        <v>36</v>
      </c>
      <c r="BC68" s="8">
        <v>25</v>
      </c>
      <c r="BD68" s="8">
        <v>26</v>
      </c>
      <c r="BE68" s="8">
        <v>23</v>
      </c>
      <c r="BF68" s="8">
        <v>11</v>
      </c>
      <c r="BH68" s="8" t="str">
        <f t="shared" si="17"/>
        <v>3HeavyMediumHeavy25</v>
      </c>
      <c r="BI68" s="8">
        <v>3</v>
      </c>
      <c r="BJ68" s="8" t="s">
        <v>37</v>
      </c>
      <c r="BK68" s="8" t="s">
        <v>36</v>
      </c>
      <c r="BL68" s="8" t="s">
        <v>37</v>
      </c>
      <c r="BM68" s="8">
        <v>25</v>
      </c>
      <c r="BN68" s="8">
        <v>11</v>
      </c>
      <c r="BO68" s="8">
        <v>25</v>
      </c>
      <c r="BP68" s="8">
        <v>15</v>
      </c>
    </row>
    <row r="69" spans="16:68" x14ac:dyDescent="0.25">
      <c r="P69" s="8" t="s">
        <v>57</v>
      </c>
      <c r="Q69" s="8">
        <v>1.5</v>
      </c>
      <c r="S69" s="8" t="str">
        <f t="shared" si="18"/>
        <v>WUrbanT3Exposed</v>
      </c>
      <c r="T69" s="8" t="s">
        <v>79</v>
      </c>
      <c r="U69" s="8" t="s">
        <v>27</v>
      </c>
      <c r="V69" s="8" t="s">
        <v>75</v>
      </c>
      <c r="W69" s="8" t="s">
        <v>14</v>
      </c>
      <c r="X69" s="8" t="s">
        <v>82</v>
      </c>
      <c r="Y69" s="8" t="s">
        <v>80</v>
      </c>
      <c r="AN69" s="8" t="str">
        <f t="shared" si="15"/>
        <v>3HeavyMediumHeavy45</v>
      </c>
      <c r="AO69" s="8">
        <v>3</v>
      </c>
      <c r="AP69" s="8" t="s">
        <v>37</v>
      </c>
      <c r="AQ69" s="8" t="s">
        <v>36</v>
      </c>
      <c r="AR69" s="8" t="s">
        <v>37</v>
      </c>
      <c r="AS69" s="8">
        <v>45</v>
      </c>
      <c r="AT69" s="8">
        <v>25</v>
      </c>
      <c r="AU69" s="8">
        <v>20</v>
      </c>
      <c r="AW69" s="8" t="str">
        <f t="shared" si="20"/>
        <v>3LightLightLightMedium45</v>
      </c>
      <c r="AX69" s="8">
        <v>3</v>
      </c>
      <c r="AY69" s="8" t="s">
        <v>20</v>
      </c>
      <c r="AZ69" s="8" t="s">
        <v>20</v>
      </c>
      <c r="BA69" s="8" t="s">
        <v>20</v>
      </c>
      <c r="BB69" s="8" t="s">
        <v>36</v>
      </c>
      <c r="BC69" s="8">
        <v>45</v>
      </c>
      <c r="BD69" s="8">
        <v>27</v>
      </c>
      <c r="BE69" s="8">
        <v>24</v>
      </c>
      <c r="BF69" s="8">
        <v>12</v>
      </c>
      <c r="BH69" s="8" t="str">
        <f t="shared" si="17"/>
        <v>3HeavyMediumHeavy45</v>
      </c>
      <c r="BI69" s="8">
        <v>3</v>
      </c>
      <c r="BJ69" s="8" t="s">
        <v>37</v>
      </c>
      <c r="BK69" s="8" t="s">
        <v>36</v>
      </c>
      <c r="BL69" s="8" t="s">
        <v>37</v>
      </c>
      <c r="BM69" s="8">
        <v>45</v>
      </c>
      <c r="BN69" s="8">
        <v>12</v>
      </c>
      <c r="BO69" s="8">
        <v>27</v>
      </c>
      <c r="BP69" s="8">
        <v>17</v>
      </c>
    </row>
    <row r="70" spans="16:68" x14ac:dyDescent="0.25">
      <c r="S70" s="8" t="str">
        <f t="shared" si="18"/>
        <v>WUrbanT4Sheltered</v>
      </c>
      <c r="T70" s="8" t="s">
        <v>79</v>
      </c>
      <c r="U70" s="8" t="s">
        <v>27</v>
      </c>
      <c r="V70" s="8" t="s">
        <v>76</v>
      </c>
      <c r="W70" s="8" t="s">
        <v>77</v>
      </c>
      <c r="X70" s="8" t="s">
        <v>72</v>
      </c>
      <c r="Y70" s="8" t="s">
        <v>80</v>
      </c>
      <c r="AN70" s="8" t="str">
        <f t="shared" si="15"/>
        <v>3HeavyMediumHeavy60</v>
      </c>
      <c r="AO70" s="8">
        <v>3</v>
      </c>
      <c r="AP70" s="8" t="s">
        <v>37</v>
      </c>
      <c r="AQ70" s="8" t="s">
        <v>36</v>
      </c>
      <c r="AR70" s="8" t="s">
        <v>37</v>
      </c>
      <c r="AS70" s="8">
        <v>60</v>
      </c>
      <c r="AT70" s="8">
        <v>28</v>
      </c>
      <c r="AU70" s="8">
        <v>23</v>
      </c>
      <c r="AW70" s="8" t="str">
        <f t="shared" si="20"/>
        <v>3LightLightLightMedium60</v>
      </c>
      <c r="AX70" s="8">
        <v>3</v>
      </c>
      <c r="AY70" s="8" t="s">
        <v>20</v>
      </c>
      <c r="AZ70" s="8" t="s">
        <v>20</v>
      </c>
      <c r="BA70" s="8" t="s">
        <v>20</v>
      </c>
      <c r="BB70" s="8" t="s">
        <v>36</v>
      </c>
      <c r="BC70" s="8">
        <v>60</v>
      </c>
      <c r="BD70" s="8">
        <v>28</v>
      </c>
      <c r="BE70" s="8">
        <v>15</v>
      </c>
      <c r="BF70" s="8">
        <v>14</v>
      </c>
      <c r="BH70" s="8" t="str">
        <f t="shared" si="17"/>
        <v>3HeavyMediumHeavy60</v>
      </c>
      <c r="BI70" s="8">
        <v>3</v>
      </c>
      <c r="BJ70" s="8" t="s">
        <v>37</v>
      </c>
      <c r="BK70" s="8" t="s">
        <v>36</v>
      </c>
      <c r="BL70" s="8" t="s">
        <v>37</v>
      </c>
      <c r="BM70" s="8">
        <v>60</v>
      </c>
      <c r="BN70" s="8">
        <v>16</v>
      </c>
      <c r="BO70" s="8">
        <v>30</v>
      </c>
      <c r="BP70" s="8">
        <v>21</v>
      </c>
    </row>
    <row r="71" spans="16:68" x14ac:dyDescent="0.25">
      <c r="S71" s="8" t="str">
        <f t="shared" si="18"/>
        <v>WUrbanT4Exposed</v>
      </c>
      <c r="T71" s="8" t="s">
        <v>79</v>
      </c>
      <c r="U71" s="8" t="s">
        <v>27</v>
      </c>
      <c r="V71" s="8" t="s">
        <v>76</v>
      </c>
      <c r="W71" s="8" t="s">
        <v>14</v>
      </c>
      <c r="X71" s="8" t="s">
        <v>72</v>
      </c>
      <c r="Y71" s="8" t="s">
        <v>80</v>
      </c>
      <c r="AN71" s="8" t="str">
        <f t="shared" si="15"/>
        <v>3HeavyHeavyHeavy25</v>
      </c>
      <c r="AO71" s="8">
        <v>3</v>
      </c>
      <c r="AP71" s="8" t="s">
        <v>37</v>
      </c>
      <c r="AQ71" s="8" t="s">
        <v>37</v>
      </c>
      <c r="AR71" s="8" t="s">
        <v>37</v>
      </c>
      <c r="AS71" s="8">
        <v>25</v>
      </c>
      <c r="AT71" s="8">
        <v>33</v>
      </c>
      <c r="AU71" s="8">
        <v>23</v>
      </c>
      <c r="AW71" s="8" t="str">
        <f t="shared" si="20"/>
        <v>3LightLightLightHeavy25</v>
      </c>
      <c r="AX71" s="8">
        <v>3</v>
      </c>
      <c r="AY71" s="8" t="s">
        <v>20</v>
      </c>
      <c r="AZ71" s="8" t="s">
        <v>20</v>
      </c>
      <c r="BA71" s="8" t="s">
        <v>20</v>
      </c>
      <c r="BB71" s="8" t="s">
        <v>37</v>
      </c>
      <c r="BC71" s="8">
        <v>25</v>
      </c>
      <c r="BD71" s="8">
        <v>26</v>
      </c>
      <c r="BE71" s="8">
        <v>23</v>
      </c>
      <c r="BF71" s="8">
        <v>11</v>
      </c>
      <c r="BH71" s="8" t="str">
        <f t="shared" si="17"/>
        <v>3HeavyHeavyHeavy25</v>
      </c>
      <c r="BI71" s="8">
        <v>3</v>
      </c>
      <c r="BJ71" s="8" t="s">
        <v>37</v>
      </c>
      <c r="BK71" s="8" t="s">
        <v>37</v>
      </c>
      <c r="BL71" s="8" t="s">
        <v>37</v>
      </c>
      <c r="BM71" s="8">
        <v>25</v>
      </c>
      <c r="BN71" s="8">
        <v>13</v>
      </c>
      <c r="BO71" s="8">
        <v>38</v>
      </c>
      <c r="BP71" s="8">
        <v>20</v>
      </c>
    </row>
    <row r="72" spans="16:68" x14ac:dyDescent="0.25">
      <c r="S72" s="8" t="str">
        <f t="shared" si="18"/>
        <v>WOpenT1Sheltered</v>
      </c>
      <c r="T72" s="8" t="s">
        <v>79</v>
      </c>
      <c r="U72" s="8" t="s">
        <v>78</v>
      </c>
      <c r="V72" s="8" t="s">
        <v>21</v>
      </c>
      <c r="W72" s="8" t="s">
        <v>77</v>
      </c>
      <c r="X72" s="8" t="s">
        <v>71</v>
      </c>
      <c r="Y72" s="8" t="s">
        <v>80</v>
      </c>
      <c r="AN72" s="8" t="str">
        <f t="shared" si="15"/>
        <v>3HeavyHeavyHeavy45</v>
      </c>
      <c r="AO72" s="8">
        <v>3</v>
      </c>
      <c r="AP72" s="8" t="s">
        <v>37</v>
      </c>
      <c r="AQ72" s="8" t="s">
        <v>37</v>
      </c>
      <c r="AR72" s="8" t="s">
        <v>37</v>
      </c>
      <c r="AS72" s="8">
        <v>45</v>
      </c>
      <c r="AT72" s="8">
        <v>35</v>
      </c>
      <c r="AU72" s="8">
        <v>26</v>
      </c>
      <c r="AW72" s="8" t="str">
        <f t="shared" si="20"/>
        <v>3LightLightLightHeavy45</v>
      </c>
      <c r="AX72" s="8">
        <v>3</v>
      </c>
      <c r="AY72" s="8" t="s">
        <v>20</v>
      </c>
      <c r="AZ72" s="8" t="s">
        <v>20</v>
      </c>
      <c r="BA72" s="8" t="s">
        <v>20</v>
      </c>
      <c r="BB72" s="8" t="s">
        <v>37</v>
      </c>
      <c r="BC72" s="8">
        <v>45</v>
      </c>
      <c r="BD72" s="8">
        <v>27</v>
      </c>
      <c r="BE72" s="8">
        <v>24</v>
      </c>
      <c r="BF72" s="8">
        <v>12</v>
      </c>
      <c r="BH72" s="8" t="str">
        <f t="shared" si="17"/>
        <v>3HeavyHeavyHeavy45</v>
      </c>
      <c r="BI72" s="8">
        <v>3</v>
      </c>
      <c r="BJ72" s="8" t="s">
        <v>37</v>
      </c>
      <c r="BK72" s="8" t="s">
        <v>37</v>
      </c>
      <c r="BL72" s="8" t="s">
        <v>37</v>
      </c>
      <c r="BM72" s="8">
        <v>45</v>
      </c>
      <c r="BN72" s="8">
        <v>15</v>
      </c>
      <c r="BO72" s="8">
        <v>40</v>
      </c>
      <c r="BP72" s="8">
        <v>23</v>
      </c>
    </row>
    <row r="73" spans="16:68" x14ac:dyDescent="0.25">
      <c r="S73" s="8" t="str">
        <f t="shared" si="18"/>
        <v>WOpenT1Exposed</v>
      </c>
      <c r="T73" s="8" t="s">
        <v>79</v>
      </c>
      <c r="U73" s="8" t="s">
        <v>78</v>
      </c>
      <c r="V73" s="8" t="s">
        <v>21</v>
      </c>
      <c r="W73" s="8" t="s">
        <v>14</v>
      </c>
      <c r="X73" s="8" t="s">
        <v>82</v>
      </c>
      <c r="Y73" s="8" t="s">
        <v>80</v>
      </c>
      <c r="AN73" s="8" t="str">
        <f t="shared" si="15"/>
        <v>3HeavyHeavyHeavy60</v>
      </c>
      <c r="AO73" s="8">
        <v>3</v>
      </c>
      <c r="AP73" s="8" t="s">
        <v>37</v>
      </c>
      <c r="AQ73" s="8" t="s">
        <v>37</v>
      </c>
      <c r="AR73" s="8" t="s">
        <v>37</v>
      </c>
      <c r="AS73" s="8">
        <v>60</v>
      </c>
      <c r="AT73" s="8">
        <v>38</v>
      </c>
      <c r="AU73" s="8">
        <v>29</v>
      </c>
      <c r="AW73" s="8" t="str">
        <f t="shared" si="20"/>
        <v>3LightLightLightHeavy60</v>
      </c>
      <c r="AX73" s="8">
        <v>3</v>
      </c>
      <c r="AY73" s="8" t="s">
        <v>20</v>
      </c>
      <c r="AZ73" s="8" t="s">
        <v>20</v>
      </c>
      <c r="BA73" s="8" t="s">
        <v>20</v>
      </c>
      <c r="BB73" s="8" t="s">
        <v>37</v>
      </c>
      <c r="BC73" s="8">
        <v>60</v>
      </c>
      <c r="BD73" s="8">
        <v>28</v>
      </c>
      <c r="BE73" s="8">
        <v>15</v>
      </c>
      <c r="BF73" s="8">
        <v>14</v>
      </c>
      <c r="BH73" s="8" t="str">
        <f t="shared" si="17"/>
        <v>3HeavyHeavyHeavy60</v>
      </c>
      <c r="BI73" s="8">
        <v>3</v>
      </c>
      <c r="BJ73" s="8" t="s">
        <v>37</v>
      </c>
      <c r="BK73" s="8" t="s">
        <v>37</v>
      </c>
      <c r="BL73" s="8" t="s">
        <v>37</v>
      </c>
      <c r="BM73" s="8">
        <v>60</v>
      </c>
      <c r="BN73" s="8">
        <v>18</v>
      </c>
      <c r="BO73" s="8">
        <v>43</v>
      </c>
      <c r="BP73" s="8">
        <v>26</v>
      </c>
    </row>
    <row r="74" spans="16:68" x14ac:dyDescent="0.25">
      <c r="S74" s="8" t="str">
        <f t="shared" si="18"/>
        <v>WOpenT2Sheltered</v>
      </c>
      <c r="T74" s="8" t="s">
        <v>79</v>
      </c>
      <c r="U74" s="8" t="s">
        <v>78</v>
      </c>
      <c r="V74" s="8" t="s">
        <v>74</v>
      </c>
      <c r="W74" s="8" t="s">
        <v>77</v>
      </c>
      <c r="X74" s="8" t="s">
        <v>82</v>
      </c>
      <c r="Y74" s="8" t="s">
        <v>80</v>
      </c>
      <c r="AW74" s="8" t="str">
        <f t="shared" si="20"/>
        <v>3LightLightMediumMedium25</v>
      </c>
      <c r="AX74" s="8">
        <v>3</v>
      </c>
      <c r="AY74" s="8" t="s">
        <v>20</v>
      </c>
      <c r="AZ74" s="8" t="s">
        <v>20</v>
      </c>
      <c r="BA74" s="8" t="s">
        <v>36</v>
      </c>
      <c r="BB74" s="8" t="s">
        <v>36</v>
      </c>
      <c r="BC74" s="8">
        <v>25</v>
      </c>
      <c r="BD74" s="8">
        <v>29</v>
      </c>
      <c r="BE74" s="8">
        <v>25</v>
      </c>
      <c r="BF74" s="8">
        <v>12</v>
      </c>
    </row>
    <row r="75" spans="16:68" x14ac:dyDescent="0.25">
      <c r="S75" s="8" t="str">
        <f t="shared" si="18"/>
        <v>WOpenT2Exposed</v>
      </c>
      <c r="T75" s="8" t="s">
        <v>79</v>
      </c>
      <c r="U75" s="8" t="s">
        <v>78</v>
      </c>
      <c r="V75" s="8" t="s">
        <v>74</v>
      </c>
      <c r="W75" s="8" t="s">
        <v>14</v>
      </c>
      <c r="X75" s="8" t="s">
        <v>72</v>
      </c>
      <c r="Y75" s="8" t="s">
        <v>80</v>
      </c>
      <c r="AW75" s="8" t="str">
        <f t="shared" si="20"/>
        <v>3LightLightMediumMedium45</v>
      </c>
      <c r="AX75" s="8">
        <v>3</v>
      </c>
      <c r="AY75" s="8" t="s">
        <v>20</v>
      </c>
      <c r="AZ75" s="8" t="s">
        <v>20</v>
      </c>
      <c r="BA75" s="8" t="s">
        <v>36</v>
      </c>
      <c r="BB75" s="8" t="s">
        <v>36</v>
      </c>
      <c r="BC75" s="8">
        <v>45</v>
      </c>
      <c r="BD75" s="8">
        <v>30</v>
      </c>
      <c r="BE75" s="8">
        <v>26</v>
      </c>
      <c r="BF75" s="8">
        <v>13</v>
      </c>
    </row>
    <row r="76" spans="16:68" x14ac:dyDescent="0.25">
      <c r="S76" s="8" t="str">
        <f t="shared" si="18"/>
        <v>WOpenT3Sheltered</v>
      </c>
      <c r="T76" s="8" t="s">
        <v>79</v>
      </c>
      <c r="U76" s="8" t="s">
        <v>78</v>
      </c>
      <c r="V76" s="8" t="s">
        <v>75</v>
      </c>
      <c r="W76" s="8" t="s">
        <v>77</v>
      </c>
      <c r="X76" s="8" t="s">
        <v>82</v>
      </c>
      <c r="Y76" s="8" t="s">
        <v>80</v>
      </c>
      <c r="AW76" s="8" t="str">
        <f t="shared" si="20"/>
        <v>3LightLightMediumMedium60</v>
      </c>
      <c r="AX76" s="8">
        <v>3</v>
      </c>
      <c r="AY76" s="8" t="s">
        <v>20</v>
      </c>
      <c r="AZ76" s="8" t="s">
        <v>20</v>
      </c>
      <c r="BA76" s="8" t="s">
        <v>36</v>
      </c>
      <c r="BB76" s="8" t="s">
        <v>36</v>
      </c>
      <c r="BC76" s="8">
        <v>60</v>
      </c>
      <c r="BD76" s="8">
        <v>31</v>
      </c>
      <c r="BE76" s="8">
        <v>27</v>
      </c>
      <c r="BF76" s="8">
        <v>14</v>
      </c>
    </row>
    <row r="77" spans="16:68" x14ac:dyDescent="0.25">
      <c r="S77" s="8" t="str">
        <f t="shared" si="18"/>
        <v>WOpenT3Exposed</v>
      </c>
      <c r="T77" s="8" t="s">
        <v>79</v>
      </c>
      <c r="U77" s="8" t="s">
        <v>78</v>
      </c>
      <c r="V77" s="8" t="s">
        <v>75</v>
      </c>
      <c r="W77" s="8" t="s">
        <v>14</v>
      </c>
      <c r="X77" s="8" t="s">
        <v>72</v>
      </c>
      <c r="Y77" s="8" t="s">
        <v>80</v>
      </c>
      <c r="AW77" s="8" t="str">
        <f t="shared" si="20"/>
        <v>3LightLightMediumHeavy25</v>
      </c>
      <c r="AX77" s="8">
        <v>3</v>
      </c>
      <c r="AY77" s="8" t="s">
        <v>20</v>
      </c>
      <c r="AZ77" s="8" t="s">
        <v>20</v>
      </c>
      <c r="BA77" s="8" t="s">
        <v>36</v>
      </c>
      <c r="BB77" s="8" t="s">
        <v>37</v>
      </c>
      <c r="BC77" s="8">
        <v>25</v>
      </c>
      <c r="BD77" s="8">
        <v>29</v>
      </c>
      <c r="BE77" s="8">
        <v>25</v>
      </c>
      <c r="BF77" s="8">
        <v>12</v>
      </c>
    </row>
    <row r="78" spans="16:68" x14ac:dyDescent="0.25">
      <c r="S78" s="8" t="str">
        <f t="shared" si="18"/>
        <v>WOpenT4Sheltered</v>
      </c>
      <c r="T78" s="8" t="s">
        <v>79</v>
      </c>
      <c r="U78" s="8" t="s">
        <v>78</v>
      </c>
      <c r="V78" s="8" t="s">
        <v>76</v>
      </c>
      <c r="W78" s="8" t="s">
        <v>77</v>
      </c>
      <c r="X78" s="8" t="s">
        <v>80</v>
      </c>
      <c r="Y78" s="8" t="s">
        <v>80</v>
      </c>
      <c r="AW78" s="8" t="str">
        <f t="shared" si="20"/>
        <v>3LightLightMediumHeavy45</v>
      </c>
      <c r="AX78" s="8">
        <v>3</v>
      </c>
      <c r="AY78" s="8" t="s">
        <v>20</v>
      </c>
      <c r="AZ78" s="8" t="s">
        <v>20</v>
      </c>
      <c r="BA78" s="8" t="s">
        <v>36</v>
      </c>
      <c r="BB78" s="8" t="s">
        <v>37</v>
      </c>
      <c r="BC78" s="8">
        <v>45</v>
      </c>
      <c r="BD78" s="8">
        <v>30</v>
      </c>
      <c r="BE78" s="8">
        <v>26</v>
      </c>
      <c r="BF78" s="8">
        <v>13</v>
      </c>
    </row>
    <row r="79" spans="16:68" x14ac:dyDescent="0.25">
      <c r="S79" s="8" t="str">
        <f t="shared" si="18"/>
        <v>WOpenT4Exposed</v>
      </c>
      <c r="T79" s="8" t="s">
        <v>79</v>
      </c>
      <c r="U79" s="8" t="s">
        <v>78</v>
      </c>
      <c r="V79" s="8" t="s">
        <v>76</v>
      </c>
      <c r="W79" s="8" t="s">
        <v>14</v>
      </c>
      <c r="X79" s="8" t="s">
        <v>80</v>
      </c>
      <c r="Y79" s="8" t="s">
        <v>80</v>
      </c>
      <c r="AW79" s="8" t="str">
        <f t="shared" si="20"/>
        <v>3LightLightMediumHeavy60</v>
      </c>
      <c r="AX79" s="8">
        <v>3</v>
      </c>
      <c r="AY79" s="8" t="s">
        <v>20</v>
      </c>
      <c r="AZ79" s="8" t="s">
        <v>20</v>
      </c>
      <c r="BA79" s="8" t="s">
        <v>36</v>
      </c>
      <c r="BB79" s="8" t="s">
        <v>37</v>
      </c>
      <c r="BC79" s="8">
        <v>60</v>
      </c>
      <c r="BD79" s="8">
        <v>31</v>
      </c>
      <c r="BE79" s="8">
        <v>27</v>
      </c>
      <c r="BF79" s="8">
        <v>14</v>
      </c>
    </row>
    <row r="80" spans="16:68" x14ac:dyDescent="0.25">
      <c r="AW80" s="8" t="str">
        <f t="shared" si="20"/>
        <v>3LightLightHeavyHeavy25</v>
      </c>
      <c r="AX80" s="8">
        <v>3</v>
      </c>
      <c r="AY80" s="8" t="s">
        <v>20</v>
      </c>
      <c r="AZ80" s="8" t="s">
        <v>20</v>
      </c>
      <c r="BA80" s="8" t="s">
        <v>37</v>
      </c>
      <c r="BB80" s="8" t="s">
        <v>37</v>
      </c>
      <c r="BC80" s="8">
        <v>25</v>
      </c>
      <c r="BD80" s="8">
        <v>37</v>
      </c>
      <c r="BE80" s="8">
        <v>33</v>
      </c>
      <c r="BF80" s="8">
        <v>13</v>
      </c>
    </row>
    <row r="81" spans="15:58" x14ac:dyDescent="0.25">
      <c r="AW81" s="8" t="str">
        <f t="shared" si="20"/>
        <v>3LightLightHeavyHeavy45</v>
      </c>
      <c r="AX81" s="8">
        <v>3</v>
      </c>
      <c r="AY81" s="8" t="s">
        <v>20</v>
      </c>
      <c r="AZ81" s="8" t="s">
        <v>20</v>
      </c>
      <c r="BA81" s="8" t="s">
        <v>37</v>
      </c>
      <c r="BB81" s="8" t="s">
        <v>37</v>
      </c>
      <c r="BC81" s="8">
        <v>45</v>
      </c>
      <c r="BD81" s="8">
        <v>38</v>
      </c>
      <c r="BE81" s="8">
        <v>33</v>
      </c>
      <c r="BF81" s="8">
        <v>14</v>
      </c>
    </row>
    <row r="82" spans="15:58" x14ac:dyDescent="0.25">
      <c r="P82" s="8" t="s">
        <v>141</v>
      </c>
      <c r="AW82" s="8" t="str">
        <f t="shared" si="20"/>
        <v>3LightLightHeavyHeavy60</v>
      </c>
      <c r="AX82" s="8">
        <v>3</v>
      </c>
      <c r="AY82" s="8" t="s">
        <v>20</v>
      </c>
      <c r="AZ82" s="8" t="s">
        <v>20</v>
      </c>
      <c r="BA82" s="8" t="s">
        <v>37</v>
      </c>
      <c r="BB82" s="8" t="s">
        <v>37</v>
      </c>
      <c r="BC82" s="8">
        <v>60</v>
      </c>
      <c r="BD82" s="8">
        <v>39</v>
      </c>
      <c r="BE82" s="8">
        <v>35</v>
      </c>
      <c r="BF82" s="8">
        <v>15</v>
      </c>
    </row>
    <row r="83" spans="15:58" x14ac:dyDescent="0.25">
      <c r="AW83" s="8" t="str">
        <f t="shared" si="20"/>
        <v>3LightMediumMediumMedium25</v>
      </c>
      <c r="AX83" s="8">
        <v>3</v>
      </c>
      <c r="AY83" s="8" t="s">
        <v>20</v>
      </c>
      <c r="AZ83" s="8" t="s">
        <v>36</v>
      </c>
      <c r="BA83" s="8" t="s">
        <v>36</v>
      </c>
      <c r="BB83" s="8" t="s">
        <v>36</v>
      </c>
      <c r="BC83" s="8">
        <v>25</v>
      </c>
      <c r="BD83" s="8">
        <v>33</v>
      </c>
      <c r="BE83" s="8">
        <v>29</v>
      </c>
      <c r="BF83" s="8">
        <v>13</v>
      </c>
    </row>
    <row r="84" spans="15:58" x14ac:dyDescent="0.25">
      <c r="O84" s="8" t="s">
        <v>66</v>
      </c>
      <c r="P84" s="8" cm="1">
        <f t="array" ref="P84">_xlfn.IFS(C7="Single",VLOOKUP(T18,AN2:AU73,7,FALSE)*K23*I13,C7="Double",VLOOKUP(T19,AW2:BF127,8,FALSE)*K23*I13)</f>
        <v>2390.3999999999996</v>
      </c>
      <c r="Q84" s="8" cm="1">
        <f t="array" ref="Q84">_xlfn.IFS(C7="Single",VLOOKUP(T18,AN2:AU73,7,FALSE),C7="Double",VLOOKUP(T19,AW2:BF127,8,FALSE))</f>
        <v>24</v>
      </c>
      <c r="R84" s="8">
        <f>Q84+4</f>
        <v>28</v>
      </c>
      <c r="S84" s="8">
        <f>R84*K23*I13</f>
        <v>2788.8</v>
      </c>
      <c r="AW84" s="8" t="str">
        <f t="shared" si="20"/>
        <v>3LightMediumMediumMedium45</v>
      </c>
      <c r="AX84" s="8">
        <v>3</v>
      </c>
      <c r="AY84" s="8" t="s">
        <v>20</v>
      </c>
      <c r="AZ84" s="8" t="s">
        <v>36</v>
      </c>
      <c r="BA84" s="8" t="s">
        <v>36</v>
      </c>
      <c r="BB84" s="8" t="s">
        <v>36</v>
      </c>
      <c r="BC84" s="8">
        <v>45</v>
      </c>
      <c r="BD84" s="8">
        <v>33</v>
      </c>
      <c r="BE84" s="8">
        <v>29</v>
      </c>
      <c r="BF84" s="8">
        <v>14</v>
      </c>
    </row>
    <row r="85" spans="15:58" x14ac:dyDescent="0.25">
      <c r="O85" s="8" t="s">
        <v>9</v>
      </c>
      <c r="P85" s="8" cm="1">
        <f t="array" ref="P85">_xlfn.IFS(C9="Subfloor",VLOOKUP(T18,AN2:AU73,8,FALSE)*K23*I13,C9="Slab",VLOOKUP(T20,BH2:BP73,7,FALSE)*I13*K23)</f>
        <v>597.6</v>
      </c>
      <c r="Q85" s="8" cm="1">
        <f t="array" ref="Q85">_xlfn.IFS(C9="Subfloor",VLOOKUP(T18,AN2:AU73,8,FALSE),C9="Slab",VLOOKUP(T20,BH2:BP73,7,FALSE))</f>
        <v>6</v>
      </c>
      <c r="R85" s="8">
        <f t="shared" ref="R85:R87" si="21">Q85+4</f>
        <v>10</v>
      </c>
      <c r="S85" s="8">
        <f>R85*K23*I13</f>
        <v>996</v>
      </c>
      <c r="AW85" s="8" t="str">
        <f t="shared" si="20"/>
        <v>3LightMediumMediumMedium60</v>
      </c>
      <c r="AX85" s="8">
        <v>3</v>
      </c>
      <c r="AY85" s="8" t="s">
        <v>20</v>
      </c>
      <c r="AZ85" s="8" t="s">
        <v>36</v>
      </c>
      <c r="BA85" s="8" t="s">
        <v>36</v>
      </c>
      <c r="BB85" s="8" t="s">
        <v>36</v>
      </c>
      <c r="BC85" s="8">
        <v>60</v>
      </c>
      <c r="BD85" s="8">
        <v>34</v>
      </c>
      <c r="BE85" s="8">
        <v>31</v>
      </c>
      <c r="BF85" s="8">
        <v>16</v>
      </c>
    </row>
    <row r="86" spans="15:58" x14ac:dyDescent="0.25">
      <c r="O86" s="8" t="s">
        <v>142</v>
      </c>
      <c r="P86" s="8" cm="1">
        <f t="array" ref="P86">_xlfn.IFS(AND(C9="Subfloor",C7="Double"),VLOOKUP(T19,AW2:BF127,9,FALSE)*K23*I13,AND(C9="Slab",C7="Double"),VLOOKUP(T21,BH2:BP73,8,FALSE)*K23*I13)</f>
        <v>1593.6</v>
      </c>
      <c r="Q86" s="8" cm="1">
        <f t="array" ref="Q86">_xlfn.IFS(AND(C9="Subfloor",C7="Double"),VLOOKUP(T19,AW2:BF127,9,FALSE),AND(C9="Slab",C7="Double"),VLOOKUP(T21,BH2:BP73,8,FALSE))</f>
        <v>16</v>
      </c>
      <c r="R86" s="8">
        <f t="shared" si="21"/>
        <v>20</v>
      </c>
      <c r="S86" s="8">
        <f>R86*K23*I13</f>
        <v>1992</v>
      </c>
      <c r="AW86" s="8" t="str">
        <f t="shared" si="20"/>
        <v>3LightMediumMediumHeavy25</v>
      </c>
      <c r="AX86" s="8">
        <v>3</v>
      </c>
      <c r="AY86" s="8" t="s">
        <v>20</v>
      </c>
      <c r="AZ86" s="8" t="s">
        <v>36</v>
      </c>
      <c r="BA86" s="8" t="s">
        <v>36</v>
      </c>
      <c r="BB86" s="8" t="s">
        <v>37</v>
      </c>
      <c r="BC86" s="8">
        <v>25</v>
      </c>
      <c r="BD86" s="8">
        <v>33</v>
      </c>
      <c r="BE86" s="8">
        <v>29</v>
      </c>
      <c r="BF86" s="8">
        <v>13</v>
      </c>
    </row>
    <row r="87" spans="15:58" x14ac:dyDescent="0.25">
      <c r="O87" s="8" t="s">
        <v>143</v>
      </c>
      <c r="P87" s="8" cm="1">
        <f t="array" ref="P87">_xlfn.IFS(AND(C9="Subfloor",C7="Double"),VLOOKUP(T19,AW2:BF127,10,FALSE)*K23*I14,AND(C9="Slab",C7="Double"),VLOOKUP(T21,BH2:BP73,9,FALSE)*I14*K23)</f>
        <v>648</v>
      </c>
      <c r="Q87" s="8" cm="1">
        <f t="array" ref="Q87">_xlfn.IFS(AND(C9="Subfloor",C7="Double"),VLOOKUP(T19,AW2:BF127,10,FALSE),AND(C9="Slab",C7="Double"),VLOOKUP(T21,BH2:BP73,9,FALSE))</f>
        <v>9</v>
      </c>
      <c r="R87" s="8">
        <f t="shared" si="21"/>
        <v>13</v>
      </c>
      <c r="S87" s="8">
        <f>R87*K23*I14</f>
        <v>936</v>
      </c>
      <c r="AW87" s="8" t="str">
        <f t="shared" si="20"/>
        <v>3LightMediumMediumHeavy45</v>
      </c>
      <c r="AX87" s="8">
        <v>3</v>
      </c>
      <c r="AY87" s="8" t="s">
        <v>20</v>
      </c>
      <c r="AZ87" s="8" t="s">
        <v>36</v>
      </c>
      <c r="BA87" s="8" t="s">
        <v>36</v>
      </c>
      <c r="BB87" s="8" t="s">
        <v>37</v>
      </c>
      <c r="BC87" s="8">
        <v>45</v>
      </c>
      <c r="BD87" s="8">
        <v>33</v>
      </c>
      <c r="BE87" s="8">
        <v>29</v>
      </c>
      <c r="BF87" s="8">
        <v>14</v>
      </c>
    </row>
    <row r="88" spans="15:58" x14ac:dyDescent="0.25">
      <c r="AW88" s="8" t="str">
        <f t="shared" si="20"/>
        <v>3LightMediumMediumHeavy60</v>
      </c>
      <c r="AX88" s="8">
        <v>3</v>
      </c>
      <c r="AY88" s="8" t="s">
        <v>20</v>
      </c>
      <c r="AZ88" s="8" t="s">
        <v>36</v>
      </c>
      <c r="BA88" s="8" t="s">
        <v>36</v>
      </c>
      <c r="BB88" s="8" t="s">
        <v>37</v>
      </c>
      <c r="BC88" s="8">
        <v>60</v>
      </c>
      <c r="BD88" s="8">
        <v>34</v>
      </c>
      <c r="BE88" s="8">
        <v>31</v>
      </c>
      <c r="BF88" s="8">
        <v>16</v>
      </c>
    </row>
    <row r="89" spans="15:58" x14ac:dyDescent="0.25">
      <c r="AW89" s="8" t="str">
        <f t="shared" si="20"/>
        <v>3LightMediumHeavyHeavy25</v>
      </c>
      <c r="AX89" s="8">
        <v>3</v>
      </c>
      <c r="AY89" s="8" t="s">
        <v>20</v>
      </c>
      <c r="AZ89" s="8" t="s">
        <v>36</v>
      </c>
      <c r="BA89" s="8" t="s">
        <v>37</v>
      </c>
      <c r="BB89" s="8" t="s">
        <v>37</v>
      </c>
      <c r="BC89" s="8">
        <v>25</v>
      </c>
      <c r="BD89" s="8">
        <v>41</v>
      </c>
      <c r="BE89" s="8">
        <v>36</v>
      </c>
      <c r="BF89" s="8">
        <v>14</v>
      </c>
    </row>
    <row r="90" spans="15:58" x14ac:dyDescent="0.25">
      <c r="AW90" s="8" t="str">
        <f t="shared" si="20"/>
        <v>3LightMediumHeavyHeavy45</v>
      </c>
      <c r="AX90" s="8">
        <v>3</v>
      </c>
      <c r="AY90" s="8" t="s">
        <v>20</v>
      </c>
      <c r="AZ90" s="8" t="s">
        <v>36</v>
      </c>
      <c r="BA90" s="8" t="s">
        <v>37</v>
      </c>
      <c r="BB90" s="8" t="s">
        <v>37</v>
      </c>
      <c r="BC90" s="8">
        <v>45</v>
      </c>
      <c r="BD90" s="8">
        <v>42</v>
      </c>
      <c r="BE90" s="8">
        <v>37</v>
      </c>
      <c r="BF90" s="8">
        <v>15</v>
      </c>
    </row>
    <row r="91" spans="15:58" x14ac:dyDescent="0.25">
      <c r="AW91" s="8" t="str">
        <f t="shared" si="20"/>
        <v>3LightMediumHeavyHeavy60</v>
      </c>
      <c r="AX91" s="8">
        <v>3</v>
      </c>
      <c r="AY91" s="8" t="s">
        <v>20</v>
      </c>
      <c r="AZ91" s="8" t="s">
        <v>36</v>
      </c>
      <c r="BA91" s="8" t="s">
        <v>37</v>
      </c>
      <c r="BB91" s="8" t="s">
        <v>37</v>
      </c>
      <c r="BC91" s="8">
        <v>60</v>
      </c>
      <c r="BD91" s="8">
        <v>43</v>
      </c>
      <c r="BE91" s="8">
        <v>38</v>
      </c>
      <c r="BF91" s="8">
        <v>17</v>
      </c>
    </row>
    <row r="92" spans="15:58" x14ac:dyDescent="0.25">
      <c r="AW92" s="8" t="str">
        <f t="shared" si="20"/>
        <v>3LightHeavyHeavyHeavy25</v>
      </c>
      <c r="AX92" s="8">
        <v>3</v>
      </c>
      <c r="AY92" s="8" t="s">
        <v>20</v>
      </c>
      <c r="AZ92" s="8" t="s">
        <v>37</v>
      </c>
      <c r="BA92" s="8" t="s">
        <v>37</v>
      </c>
      <c r="BB92" s="8" t="s">
        <v>37</v>
      </c>
      <c r="BC92" s="8">
        <v>25</v>
      </c>
      <c r="BD92" s="8">
        <v>51</v>
      </c>
      <c r="BE92" s="8">
        <v>45</v>
      </c>
      <c r="BF92" s="8">
        <v>19</v>
      </c>
    </row>
    <row r="93" spans="15:58" x14ac:dyDescent="0.25">
      <c r="AW93" s="8" t="str">
        <f t="shared" si="20"/>
        <v>3LightHeavyHeavyHeavy45</v>
      </c>
      <c r="AX93" s="8">
        <v>3</v>
      </c>
      <c r="AY93" s="8" t="s">
        <v>20</v>
      </c>
      <c r="AZ93" s="8" t="s">
        <v>37</v>
      </c>
      <c r="BA93" s="8" t="s">
        <v>37</v>
      </c>
      <c r="BB93" s="8" t="s">
        <v>37</v>
      </c>
      <c r="BC93" s="8">
        <v>45</v>
      </c>
      <c r="BD93" s="8">
        <v>52</v>
      </c>
      <c r="BE93" s="8">
        <v>46</v>
      </c>
      <c r="BF93" s="8">
        <v>20</v>
      </c>
    </row>
    <row r="94" spans="15:58" x14ac:dyDescent="0.25">
      <c r="AW94" s="8" t="str">
        <f t="shared" si="20"/>
        <v>3LightHeavyHeavyHeavy60</v>
      </c>
      <c r="AX94" s="8">
        <v>3</v>
      </c>
      <c r="AY94" s="8" t="s">
        <v>20</v>
      </c>
      <c r="AZ94" s="8" t="s">
        <v>37</v>
      </c>
      <c r="BA94" s="8" t="s">
        <v>37</v>
      </c>
      <c r="BB94" s="8" t="s">
        <v>37</v>
      </c>
      <c r="BC94" s="8">
        <v>60</v>
      </c>
      <c r="BD94" s="8">
        <v>53</v>
      </c>
      <c r="BE94" s="8">
        <v>47</v>
      </c>
      <c r="BF94" s="8">
        <v>21</v>
      </c>
    </row>
    <row r="95" spans="15:58" x14ac:dyDescent="0.25">
      <c r="AW95" s="8" t="str">
        <f t="shared" si="20"/>
        <v>3HeavyLightLightLight25</v>
      </c>
      <c r="AX95" s="8">
        <v>3</v>
      </c>
      <c r="AY95" s="8" t="s">
        <v>37</v>
      </c>
      <c r="AZ95" s="8" t="s">
        <v>20</v>
      </c>
      <c r="BA95" s="8" t="s">
        <v>20</v>
      </c>
      <c r="BB95" s="8" t="s">
        <v>20</v>
      </c>
      <c r="BC95" s="8">
        <v>25</v>
      </c>
      <c r="BD95" s="8">
        <v>30</v>
      </c>
      <c r="BE95" s="8">
        <v>27</v>
      </c>
      <c r="BF95" s="8">
        <v>17</v>
      </c>
    </row>
    <row r="96" spans="15:58" x14ac:dyDescent="0.25">
      <c r="AW96" s="8" t="str">
        <f t="shared" si="20"/>
        <v>3HeavyLightLightLight45</v>
      </c>
      <c r="AX96" s="8">
        <v>3</v>
      </c>
      <c r="AY96" s="8" t="s">
        <v>37</v>
      </c>
      <c r="AZ96" s="8" t="s">
        <v>20</v>
      </c>
      <c r="BA96" s="8" t="s">
        <v>20</v>
      </c>
      <c r="BB96" s="8" t="s">
        <v>20</v>
      </c>
      <c r="BC96" s="8">
        <v>45</v>
      </c>
      <c r="BD96" s="8">
        <v>32</v>
      </c>
      <c r="BE96" s="8">
        <v>29</v>
      </c>
      <c r="BF96" s="8">
        <v>19</v>
      </c>
    </row>
    <row r="97" spans="49:58" x14ac:dyDescent="0.25">
      <c r="AW97" s="8" t="str">
        <f t="shared" si="20"/>
        <v>3HeavyLightLightLight60</v>
      </c>
      <c r="AX97" s="8">
        <v>3</v>
      </c>
      <c r="AY97" s="8" t="s">
        <v>37</v>
      </c>
      <c r="AZ97" s="8" t="s">
        <v>20</v>
      </c>
      <c r="BA97" s="8" t="s">
        <v>20</v>
      </c>
      <c r="BB97" s="8" t="s">
        <v>20</v>
      </c>
      <c r="BC97" s="8">
        <v>60</v>
      </c>
      <c r="BD97" s="8">
        <v>35</v>
      </c>
      <c r="BE97" s="8">
        <v>33</v>
      </c>
      <c r="BF97" s="8">
        <v>23</v>
      </c>
    </row>
    <row r="98" spans="49:58" x14ac:dyDescent="0.25">
      <c r="AW98" s="8" t="str">
        <f t="shared" si="20"/>
        <v>3HeavyLightLightMedium25</v>
      </c>
      <c r="AX98" s="8">
        <v>3</v>
      </c>
      <c r="AY98" s="8" t="s">
        <v>37</v>
      </c>
      <c r="AZ98" s="8" t="s">
        <v>20</v>
      </c>
      <c r="BA98" s="8" t="s">
        <v>20</v>
      </c>
      <c r="BB98" s="8" t="s">
        <v>36</v>
      </c>
      <c r="BC98" s="8">
        <v>25</v>
      </c>
      <c r="BD98" s="8">
        <v>30</v>
      </c>
      <c r="BE98" s="8">
        <v>27</v>
      </c>
      <c r="BF98" s="8">
        <v>17</v>
      </c>
    </row>
    <row r="99" spans="49:58" x14ac:dyDescent="0.25">
      <c r="AW99" s="8" t="str">
        <f t="shared" si="20"/>
        <v>3HeavyLightLightMedium45</v>
      </c>
      <c r="AX99" s="8">
        <v>3</v>
      </c>
      <c r="AY99" s="8" t="s">
        <v>37</v>
      </c>
      <c r="AZ99" s="8" t="s">
        <v>20</v>
      </c>
      <c r="BA99" s="8" t="s">
        <v>20</v>
      </c>
      <c r="BB99" s="8" t="s">
        <v>36</v>
      </c>
      <c r="BC99" s="8">
        <v>45</v>
      </c>
      <c r="BD99" s="8">
        <v>32</v>
      </c>
      <c r="BE99" s="8">
        <v>29</v>
      </c>
      <c r="BF99" s="8">
        <v>19</v>
      </c>
    </row>
    <row r="100" spans="49:58" x14ac:dyDescent="0.25">
      <c r="AW100" s="8" t="str">
        <f t="shared" si="20"/>
        <v>3HeavyLightLightMedium60</v>
      </c>
      <c r="AX100" s="8">
        <v>3</v>
      </c>
      <c r="AY100" s="8" t="s">
        <v>37</v>
      </c>
      <c r="AZ100" s="8" t="s">
        <v>20</v>
      </c>
      <c r="BA100" s="8" t="s">
        <v>20</v>
      </c>
      <c r="BB100" s="8" t="s">
        <v>36</v>
      </c>
      <c r="BC100" s="8">
        <v>60</v>
      </c>
      <c r="BD100" s="8">
        <v>35</v>
      </c>
      <c r="BE100" s="8">
        <v>33</v>
      </c>
      <c r="BF100" s="8">
        <v>23</v>
      </c>
    </row>
    <row r="101" spans="49:58" x14ac:dyDescent="0.25">
      <c r="AW101" s="8" t="str">
        <f t="shared" si="20"/>
        <v>3HeavyLightLightHeavy25</v>
      </c>
      <c r="AX101" s="8">
        <v>3</v>
      </c>
      <c r="AY101" s="8" t="s">
        <v>37</v>
      </c>
      <c r="AZ101" s="8" t="s">
        <v>20</v>
      </c>
      <c r="BA101" s="8" t="s">
        <v>20</v>
      </c>
      <c r="BB101" s="8" t="s">
        <v>37</v>
      </c>
      <c r="BC101" s="8">
        <v>25</v>
      </c>
      <c r="BD101" s="8">
        <v>30</v>
      </c>
      <c r="BE101" s="8">
        <v>27</v>
      </c>
      <c r="BF101" s="8">
        <v>17</v>
      </c>
    </row>
    <row r="102" spans="49:58" x14ac:dyDescent="0.25">
      <c r="AW102" s="8" t="str">
        <f t="shared" si="20"/>
        <v>3HeavyLightLightHeavy45</v>
      </c>
      <c r="AX102" s="8">
        <v>3</v>
      </c>
      <c r="AY102" s="8" t="s">
        <v>37</v>
      </c>
      <c r="AZ102" s="8" t="s">
        <v>20</v>
      </c>
      <c r="BA102" s="8" t="s">
        <v>20</v>
      </c>
      <c r="BB102" s="8" t="s">
        <v>37</v>
      </c>
      <c r="BC102" s="8">
        <v>45</v>
      </c>
      <c r="BD102" s="8">
        <v>32</v>
      </c>
      <c r="BE102" s="8">
        <v>29</v>
      </c>
      <c r="BF102" s="8">
        <v>19</v>
      </c>
    </row>
    <row r="103" spans="49:58" x14ac:dyDescent="0.25">
      <c r="AW103" s="8" t="str">
        <f t="shared" si="20"/>
        <v>3HeavyLightLightHeavy60</v>
      </c>
      <c r="AX103" s="8">
        <v>3</v>
      </c>
      <c r="AY103" s="8" t="s">
        <v>37</v>
      </c>
      <c r="AZ103" s="8" t="s">
        <v>20</v>
      </c>
      <c r="BA103" s="8" t="s">
        <v>20</v>
      </c>
      <c r="BB103" s="8" t="s">
        <v>37</v>
      </c>
      <c r="BC103" s="8">
        <v>60</v>
      </c>
      <c r="BD103" s="8">
        <v>35</v>
      </c>
      <c r="BE103" s="8">
        <v>33</v>
      </c>
      <c r="BF103" s="8">
        <v>23</v>
      </c>
    </row>
    <row r="104" spans="49:58" x14ac:dyDescent="0.25">
      <c r="AW104" s="8" t="str">
        <f t="shared" si="20"/>
        <v>3HeavyLightMediumMedium25</v>
      </c>
      <c r="AX104" s="8">
        <v>3</v>
      </c>
      <c r="AY104" s="8" t="s">
        <v>37</v>
      </c>
      <c r="AZ104" s="8" t="s">
        <v>20</v>
      </c>
      <c r="BA104" s="8" t="s">
        <v>36</v>
      </c>
      <c r="BB104" s="8" t="s">
        <v>36</v>
      </c>
      <c r="BC104" s="8">
        <v>25</v>
      </c>
      <c r="BD104" s="8">
        <v>33</v>
      </c>
      <c r="BE104" s="8">
        <v>30</v>
      </c>
      <c r="BF104" s="8">
        <v>18</v>
      </c>
    </row>
    <row r="105" spans="49:58" x14ac:dyDescent="0.25">
      <c r="AW105" s="8" t="str">
        <f t="shared" si="20"/>
        <v>3HeavyLightMediumMedium45</v>
      </c>
      <c r="AX105" s="8">
        <v>3</v>
      </c>
      <c r="AY105" s="8" t="s">
        <v>37</v>
      </c>
      <c r="AZ105" s="8" t="s">
        <v>20</v>
      </c>
      <c r="BA105" s="8" t="s">
        <v>36</v>
      </c>
      <c r="BB105" s="8" t="s">
        <v>36</v>
      </c>
      <c r="BC105" s="8">
        <v>45</v>
      </c>
      <c r="BD105" s="8">
        <v>35</v>
      </c>
      <c r="BE105" s="8">
        <v>32</v>
      </c>
      <c r="BF105" s="8">
        <v>20</v>
      </c>
    </row>
    <row r="106" spans="49:58" x14ac:dyDescent="0.25">
      <c r="AW106" s="8" t="str">
        <f t="shared" si="20"/>
        <v>3HeavyLightMediumMedium60</v>
      </c>
      <c r="AX106" s="8">
        <v>3</v>
      </c>
      <c r="AY106" s="8" t="s">
        <v>37</v>
      </c>
      <c r="AZ106" s="8" t="s">
        <v>20</v>
      </c>
      <c r="BA106" s="8" t="s">
        <v>36</v>
      </c>
      <c r="BB106" s="8" t="s">
        <v>36</v>
      </c>
      <c r="BC106" s="8">
        <v>60</v>
      </c>
      <c r="BD106" s="8">
        <v>38</v>
      </c>
      <c r="BE106" s="8">
        <v>35</v>
      </c>
      <c r="BF106" s="8">
        <v>24</v>
      </c>
    </row>
    <row r="107" spans="49:58" x14ac:dyDescent="0.25">
      <c r="AW107" s="8" t="str">
        <f t="shared" si="20"/>
        <v>3HeavyLightMediumHeavy25</v>
      </c>
      <c r="AX107" s="8">
        <v>3</v>
      </c>
      <c r="AY107" s="8" t="s">
        <v>37</v>
      </c>
      <c r="AZ107" s="8" t="s">
        <v>20</v>
      </c>
      <c r="BA107" s="8" t="s">
        <v>36</v>
      </c>
      <c r="BB107" s="8" t="s">
        <v>37</v>
      </c>
      <c r="BC107" s="8">
        <v>25</v>
      </c>
      <c r="BD107" s="8">
        <v>33</v>
      </c>
      <c r="BE107" s="8">
        <v>30</v>
      </c>
      <c r="BF107" s="8">
        <v>18</v>
      </c>
    </row>
    <row r="108" spans="49:58" x14ac:dyDescent="0.25">
      <c r="AW108" s="8" t="str">
        <f t="shared" si="20"/>
        <v>3HeavyLightMediumHeavy45</v>
      </c>
      <c r="AX108" s="8">
        <v>3</v>
      </c>
      <c r="AY108" s="8" t="s">
        <v>37</v>
      </c>
      <c r="AZ108" s="8" t="s">
        <v>20</v>
      </c>
      <c r="BA108" s="8" t="s">
        <v>36</v>
      </c>
      <c r="BB108" s="8" t="s">
        <v>37</v>
      </c>
      <c r="BC108" s="8">
        <v>45</v>
      </c>
      <c r="BD108" s="8">
        <v>35</v>
      </c>
      <c r="BE108" s="8">
        <v>32</v>
      </c>
      <c r="BF108" s="8">
        <v>20</v>
      </c>
    </row>
    <row r="109" spans="49:58" x14ac:dyDescent="0.25">
      <c r="AW109" s="8" t="str">
        <f t="shared" si="20"/>
        <v>3HeavyLightMediumHeavy60</v>
      </c>
      <c r="AX109" s="8">
        <v>3</v>
      </c>
      <c r="AY109" s="8" t="s">
        <v>37</v>
      </c>
      <c r="AZ109" s="8" t="s">
        <v>20</v>
      </c>
      <c r="BA109" s="8" t="s">
        <v>36</v>
      </c>
      <c r="BB109" s="8" t="s">
        <v>37</v>
      </c>
      <c r="BC109" s="8">
        <v>60</v>
      </c>
      <c r="BD109" s="8">
        <v>38</v>
      </c>
      <c r="BE109" s="8">
        <v>35</v>
      </c>
      <c r="BF109" s="8">
        <v>24</v>
      </c>
    </row>
    <row r="110" spans="49:58" x14ac:dyDescent="0.25">
      <c r="AW110" s="8" t="str">
        <f t="shared" si="20"/>
        <v>3HeavyLightHeavyHeavy25</v>
      </c>
      <c r="AX110" s="8">
        <v>3</v>
      </c>
      <c r="AY110" s="8" t="s">
        <v>37</v>
      </c>
      <c r="AZ110" s="8" t="s">
        <v>20</v>
      </c>
      <c r="BA110" s="8" t="s">
        <v>37</v>
      </c>
      <c r="BB110" s="8" t="s">
        <v>37</v>
      </c>
      <c r="BC110" s="8">
        <v>25</v>
      </c>
      <c r="BD110" s="8">
        <v>42</v>
      </c>
      <c r="BE110" s="8">
        <v>37</v>
      </c>
      <c r="BF110" s="8">
        <v>19</v>
      </c>
    </row>
    <row r="111" spans="49:58" x14ac:dyDescent="0.25">
      <c r="AW111" s="8" t="str">
        <f t="shared" si="20"/>
        <v>3HeavyLightHeavyHeavy45</v>
      </c>
      <c r="AX111" s="8">
        <v>3</v>
      </c>
      <c r="AY111" s="8" t="s">
        <v>37</v>
      </c>
      <c r="AZ111" s="8" t="s">
        <v>20</v>
      </c>
      <c r="BA111" s="8" t="s">
        <v>37</v>
      </c>
      <c r="BB111" s="8" t="s">
        <v>37</v>
      </c>
      <c r="BC111" s="8">
        <v>45</v>
      </c>
      <c r="BD111" s="8">
        <v>43</v>
      </c>
      <c r="BE111" s="8">
        <v>39</v>
      </c>
      <c r="BF111" s="8">
        <v>21</v>
      </c>
    </row>
    <row r="112" spans="49:58" x14ac:dyDescent="0.25">
      <c r="AW112" s="8" t="str">
        <f t="shared" si="20"/>
        <v>3HeavyLightHeavyHeavy60</v>
      </c>
      <c r="AX112" s="8">
        <v>3</v>
      </c>
      <c r="AY112" s="8" t="s">
        <v>37</v>
      </c>
      <c r="AZ112" s="8" t="s">
        <v>20</v>
      </c>
      <c r="BA112" s="8" t="s">
        <v>37</v>
      </c>
      <c r="BB112" s="8" t="s">
        <v>37</v>
      </c>
      <c r="BC112" s="8">
        <v>60</v>
      </c>
      <c r="BD112" s="8">
        <v>47</v>
      </c>
      <c r="BE112" s="8">
        <v>43</v>
      </c>
      <c r="BF112" s="8">
        <v>26</v>
      </c>
    </row>
    <row r="113" spans="49:58" x14ac:dyDescent="0.25">
      <c r="AW113" s="8" t="str">
        <f t="shared" si="20"/>
        <v>3HeavyMediumMediumMedium25</v>
      </c>
      <c r="AX113" s="8">
        <v>3</v>
      </c>
      <c r="AY113" s="8" t="s">
        <v>37</v>
      </c>
      <c r="AZ113" s="8" t="s">
        <v>36</v>
      </c>
      <c r="BA113" s="8" t="s">
        <v>36</v>
      </c>
      <c r="BB113" s="8" t="s">
        <v>36</v>
      </c>
      <c r="BC113" s="8">
        <v>25</v>
      </c>
      <c r="BD113" s="8">
        <v>37</v>
      </c>
      <c r="BE113" s="8">
        <v>33</v>
      </c>
      <c r="BF113" s="8">
        <v>19</v>
      </c>
    </row>
    <row r="114" spans="49:58" x14ac:dyDescent="0.25">
      <c r="AW114" s="8" t="str">
        <f t="shared" si="20"/>
        <v>3HeavyMediumMediumMedium45</v>
      </c>
      <c r="AX114" s="8">
        <v>3</v>
      </c>
      <c r="AY114" s="8" t="s">
        <v>37</v>
      </c>
      <c r="AZ114" s="8" t="s">
        <v>36</v>
      </c>
      <c r="BA114" s="8" t="s">
        <v>36</v>
      </c>
      <c r="BB114" s="8" t="s">
        <v>36</v>
      </c>
      <c r="BC114" s="8">
        <v>45</v>
      </c>
      <c r="BD114" s="8">
        <v>39</v>
      </c>
      <c r="BE114" s="8">
        <v>35</v>
      </c>
      <c r="BF114" s="8">
        <v>21</v>
      </c>
    </row>
    <row r="115" spans="49:58" x14ac:dyDescent="0.25">
      <c r="AW115" s="8" t="str">
        <f t="shared" si="20"/>
        <v>3HeavyMediumMediumMedium60</v>
      </c>
      <c r="AX115" s="8">
        <v>3</v>
      </c>
      <c r="AY115" s="8" t="s">
        <v>37</v>
      </c>
      <c r="AZ115" s="8" t="s">
        <v>36</v>
      </c>
      <c r="BA115" s="8" t="s">
        <v>36</v>
      </c>
      <c r="BB115" s="8" t="s">
        <v>36</v>
      </c>
      <c r="BC115" s="8">
        <v>60</v>
      </c>
      <c r="BD115" s="8">
        <v>42</v>
      </c>
      <c r="BE115" s="8">
        <v>39</v>
      </c>
      <c r="BF115" s="8">
        <v>25</v>
      </c>
    </row>
    <row r="116" spans="49:58" x14ac:dyDescent="0.25">
      <c r="AW116" s="8" t="str">
        <f t="shared" si="20"/>
        <v>3HeavyMediumMediumHeavy25</v>
      </c>
      <c r="AX116" s="8">
        <v>3</v>
      </c>
      <c r="AY116" s="8" t="s">
        <v>37</v>
      </c>
      <c r="AZ116" s="8" t="s">
        <v>36</v>
      </c>
      <c r="BA116" s="8" t="s">
        <v>36</v>
      </c>
      <c r="BB116" s="8" t="s">
        <v>37</v>
      </c>
      <c r="BC116" s="8">
        <v>25</v>
      </c>
      <c r="BD116" s="8">
        <v>37</v>
      </c>
      <c r="BE116" s="8">
        <v>33</v>
      </c>
      <c r="BF116" s="8">
        <v>19</v>
      </c>
    </row>
    <row r="117" spans="49:58" x14ac:dyDescent="0.25">
      <c r="AW117" s="8" t="str">
        <f t="shared" si="20"/>
        <v>3HeavyMediumMediumHeavy45</v>
      </c>
      <c r="AX117" s="8">
        <v>3</v>
      </c>
      <c r="AY117" s="8" t="s">
        <v>37</v>
      </c>
      <c r="AZ117" s="8" t="s">
        <v>36</v>
      </c>
      <c r="BA117" s="8" t="s">
        <v>36</v>
      </c>
      <c r="BB117" s="8" t="s">
        <v>37</v>
      </c>
      <c r="BC117" s="8">
        <v>45</v>
      </c>
      <c r="BD117" s="8">
        <v>39</v>
      </c>
      <c r="BE117" s="8">
        <v>35</v>
      </c>
      <c r="BF117" s="8">
        <v>21</v>
      </c>
    </row>
    <row r="118" spans="49:58" x14ac:dyDescent="0.25">
      <c r="AW118" s="8" t="str">
        <f t="shared" si="20"/>
        <v>3HeavyMediumMediumHeavy60</v>
      </c>
      <c r="AX118" s="8">
        <v>3</v>
      </c>
      <c r="AY118" s="8" t="s">
        <v>37</v>
      </c>
      <c r="AZ118" s="8" t="s">
        <v>36</v>
      </c>
      <c r="BA118" s="8" t="s">
        <v>36</v>
      </c>
      <c r="BB118" s="8" t="s">
        <v>37</v>
      </c>
      <c r="BC118" s="8">
        <v>60</v>
      </c>
      <c r="BD118" s="8">
        <v>42</v>
      </c>
      <c r="BE118" s="8">
        <v>39</v>
      </c>
      <c r="BF118" s="8">
        <v>25</v>
      </c>
    </row>
    <row r="119" spans="49:58" x14ac:dyDescent="0.25">
      <c r="AW119" s="8" t="str">
        <f t="shared" si="20"/>
        <v>3HeavyMediumHeavyMedium25</v>
      </c>
      <c r="AX119" s="8">
        <v>3</v>
      </c>
      <c r="AY119" s="8" t="s">
        <v>37</v>
      </c>
      <c r="AZ119" s="8" t="s">
        <v>36</v>
      </c>
      <c r="BA119" s="8" t="s">
        <v>37</v>
      </c>
      <c r="BB119" s="8" t="s">
        <v>36</v>
      </c>
      <c r="BC119" s="8">
        <v>25</v>
      </c>
      <c r="BD119" s="8">
        <v>37</v>
      </c>
      <c r="BE119" s="8">
        <v>33</v>
      </c>
      <c r="BF119" s="8">
        <v>19</v>
      </c>
    </row>
    <row r="120" spans="49:58" x14ac:dyDescent="0.25">
      <c r="AW120" s="8" t="str">
        <f t="shared" si="20"/>
        <v>3HeavyMediumHeavyMedium45</v>
      </c>
      <c r="AX120" s="8">
        <v>3</v>
      </c>
      <c r="AY120" s="8" t="s">
        <v>37</v>
      </c>
      <c r="AZ120" s="8" t="s">
        <v>36</v>
      </c>
      <c r="BA120" s="8" t="s">
        <v>37</v>
      </c>
      <c r="BB120" s="8" t="s">
        <v>36</v>
      </c>
      <c r="BC120" s="8">
        <v>45</v>
      </c>
      <c r="BD120" s="8">
        <v>39</v>
      </c>
      <c r="BE120" s="8">
        <v>35</v>
      </c>
      <c r="BF120" s="8">
        <v>21</v>
      </c>
    </row>
    <row r="121" spans="49:58" x14ac:dyDescent="0.25">
      <c r="AW121" s="8" t="str">
        <f t="shared" si="20"/>
        <v>3HeavyMediumHeavyMedium60</v>
      </c>
      <c r="AX121" s="8">
        <v>3</v>
      </c>
      <c r="AY121" s="8" t="s">
        <v>37</v>
      </c>
      <c r="AZ121" s="8" t="s">
        <v>36</v>
      </c>
      <c r="BA121" s="8" t="s">
        <v>37</v>
      </c>
      <c r="BB121" s="8" t="s">
        <v>36</v>
      </c>
      <c r="BC121" s="8">
        <v>60</v>
      </c>
      <c r="BD121" s="8">
        <v>42</v>
      </c>
      <c r="BE121" s="8">
        <v>39</v>
      </c>
      <c r="BF121" s="8">
        <v>25</v>
      </c>
    </row>
    <row r="122" spans="49:58" x14ac:dyDescent="0.25">
      <c r="AW122" s="8" t="str">
        <f t="shared" si="20"/>
        <v>3HeavyMediumHeavyHeavy25</v>
      </c>
      <c r="AX122" s="8">
        <v>3</v>
      </c>
      <c r="AY122" s="8" t="s">
        <v>37</v>
      </c>
      <c r="AZ122" s="8" t="s">
        <v>36</v>
      </c>
      <c r="BA122" s="8" t="s">
        <v>37</v>
      </c>
      <c r="BB122" s="8" t="s">
        <v>37</v>
      </c>
      <c r="BC122" s="8">
        <v>25</v>
      </c>
      <c r="BD122" s="8">
        <v>37</v>
      </c>
      <c r="BE122" s="8">
        <v>33</v>
      </c>
      <c r="BF122" s="8">
        <v>19</v>
      </c>
    </row>
    <row r="123" spans="49:58" x14ac:dyDescent="0.25">
      <c r="AW123" s="8" t="str">
        <f t="shared" si="20"/>
        <v>3HeavyMediumHeavyHeavy45</v>
      </c>
      <c r="AX123" s="8">
        <v>3</v>
      </c>
      <c r="AY123" s="8" t="s">
        <v>37</v>
      </c>
      <c r="AZ123" s="8" t="s">
        <v>36</v>
      </c>
      <c r="BA123" s="8" t="s">
        <v>37</v>
      </c>
      <c r="BB123" s="8" t="s">
        <v>37</v>
      </c>
      <c r="BC123" s="8">
        <v>45</v>
      </c>
      <c r="BD123" s="8">
        <v>39</v>
      </c>
      <c r="BE123" s="8">
        <v>35</v>
      </c>
      <c r="BF123" s="8">
        <v>21</v>
      </c>
    </row>
    <row r="124" spans="49:58" x14ac:dyDescent="0.25">
      <c r="AW124" s="8" t="str">
        <f t="shared" si="20"/>
        <v>3HeavyMediumHeavyHeavy60</v>
      </c>
      <c r="AX124" s="8">
        <v>3</v>
      </c>
      <c r="AY124" s="8" t="s">
        <v>37</v>
      </c>
      <c r="AZ124" s="8" t="s">
        <v>36</v>
      </c>
      <c r="BA124" s="8" t="s">
        <v>37</v>
      </c>
      <c r="BB124" s="8" t="s">
        <v>37</v>
      </c>
      <c r="BC124" s="8">
        <v>60</v>
      </c>
      <c r="BD124" s="8">
        <v>42</v>
      </c>
      <c r="BE124" s="8">
        <v>39</v>
      </c>
      <c r="BF124" s="8">
        <v>25</v>
      </c>
    </row>
    <row r="125" spans="49:58" x14ac:dyDescent="0.25">
      <c r="AW125" s="8" t="str">
        <f t="shared" si="20"/>
        <v>3HeavyHeavyHeavyHeavy25</v>
      </c>
      <c r="AX125" s="8">
        <v>3</v>
      </c>
      <c r="AY125" s="8" t="s">
        <v>37</v>
      </c>
      <c r="AZ125" s="8" t="s">
        <v>37</v>
      </c>
      <c r="BA125" s="8" t="s">
        <v>37</v>
      </c>
      <c r="BB125" s="8" t="s">
        <v>37</v>
      </c>
      <c r="BC125" s="8">
        <v>25</v>
      </c>
      <c r="BD125" s="8">
        <v>55</v>
      </c>
      <c r="BE125" s="8">
        <v>50</v>
      </c>
      <c r="BF125" s="8">
        <v>25</v>
      </c>
    </row>
    <row r="126" spans="49:58" x14ac:dyDescent="0.25">
      <c r="AW126" s="8" t="str">
        <f t="shared" si="20"/>
        <v>3HeavyHeavyHeavyHeavy45</v>
      </c>
      <c r="AX126" s="8">
        <v>3</v>
      </c>
      <c r="AY126" s="8" t="s">
        <v>37</v>
      </c>
      <c r="AZ126" s="8" t="s">
        <v>37</v>
      </c>
      <c r="BA126" s="8" t="s">
        <v>37</v>
      </c>
      <c r="BB126" s="8" t="s">
        <v>37</v>
      </c>
      <c r="BC126" s="8">
        <v>45</v>
      </c>
      <c r="BD126" s="8">
        <v>57</v>
      </c>
      <c r="BE126" s="8">
        <v>52</v>
      </c>
      <c r="BF126" s="8">
        <v>27</v>
      </c>
    </row>
    <row r="127" spans="49:58" x14ac:dyDescent="0.25">
      <c r="AW127" s="8" t="str">
        <f t="shared" si="20"/>
        <v>3HeavyHeavyHeavyHeavy60</v>
      </c>
      <c r="AX127" s="8">
        <v>3</v>
      </c>
      <c r="AY127" s="8" t="s">
        <v>37</v>
      </c>
      <c r="AZ127" s="8" t="s">
        <v>37</v>
      </c>
      <c r="BA127" s="8" t="s">
        <v>37</v>
      </c>
      <c r="BB127" s="8" t="s">
        <v>37</v>
      </c>
      <c r="BC127" s="8">
        <v>60</v>
      </c>
      <c r="BD127" s="8">
        <v>60</v>
      </c>
      <c r="BE127" s="8">
        <v>55</v>
      </c>
      <c r="BF127" s="8">
        <v>32</v>
      </c>
    </row>
  </sheetData>
  <sheetProtection algorithmName="SHA-512" hashValue="S9Gdu9zM8blOrawkjIGxJXtX1bPNIONf/NpIeDn8xjWJH4VXyApkrS5rM6OPkt/GmMjDiymAkkqsfVSPxXiZ+A==" saltValue="iUfizE/8J7JSLE2KdVjfZg==" spinCount="100000" sheet="1" objects="1" scenarios="1"/>
  <protectedRanges>
    <protectedRange sqref="B1:E4 I1:M4 C7:D16 I7:J12 I13:I15 C20 C22:D26 K20:M22 F44" name="Range1"/>
  </protectedRanges>
  <dataConsolidate/>
  <mergeCells count="139">
    <mergeCell ref="C27:D27"/>
    <mergeCell ref="I10:J10"/>
    <mergeCell ref="C33:E33"/>
    <mergeCell ref="F32:H32"/>
    <mergeCell ref="A34:M34"/>
    <mergeCell ref="A37:M37"/>
    <mergeCell ref="A38:B39"/>
    <mergeCell ref="A41:B42"/>
    <mergeCell ref="A40:M40"/>
    <mergeCell ref="A32:B33"/>
    <mergeCell ref="C26:D26"/>
    <mergeCell ref="A27:B27"/>
    <mergeCell ref="C41:E41"/>
    <mergeCell ref="F41:H41"/>
    <mergeCell ref="C13:D13"/>
    <mergeCell ref="A15:B15"/>
    <mergeCell ref="C10:D10"/>
    <mergeCell ref="C11:D11"/>
    <mergeCell ref="C12:D12"/>
    <mergeCell ref="C48:E48"/>
    <mergeCell ref="A46:E46"/>
    <mergeCell ref="C36:E36"/>
    <mergeCell ref="F36:H36"/>
    <mergeCell ref="F39:H39"/>
    <mergeCell ref="C35:E35"/>
    <mergeCell ref="F35:H35"/>
    <mergeCell ref="O11:P11"/>
    <mergeCell ref="O12:P12"/>
    <mergeCell ref="K20:M20"/>
    <mergeCell ref="K23:M23"/>
    <mergeCell ref="A43:M43"/>
    <mergeCell ref="A44:B45"/>
    <mergeCell ref="C44:E44"/>
    <mergeCell ref="C45:E45"/>
    <mergeCell ref="G23:J23"/>
    <mergeCell ref="A35:B36"/>
    <mergeCell ref="F44:M54"/>
    <mergeCell ref="A49:E49"/>
    <mergeCell ref="A52:E52"/>
    <mergeCell ref="A53:B54"/>
    <mergeCell ref="C53:E53"/>
    <mergeCell ref="C54:E54"/>
    <mergeCell ref="A26:B26"/>
    <mergeCell ref="A47:B48"/>
    <mergeCell ref="A31:M31"/>
    <mergeCell ref="C32:E32"/>
    <mergeCell ref="Q8:R8"/>
    <mergeCell ref="Q9:R9"/>
    <mergeCell ref="A19:M19"/>
    <mergeCell ref="A20:B20"/>
    <mergeCell ref="C20:D20"/>
    <mergeCell ref="C8:D8"/>
    <mergeCell ref="A21:B21"/>
    <mergeCell ref="C21:D21"/>
    <mergeCell ref="Q12:R12"/>
    <mergeCell ref="Q11:R11"/>
    <mergeCell ref="Q18:R18"/>
    <mergeCell ref="O18:P18"/>
    <mergeCell ref="G20:J20"/>
    <mergeCell ref="F11:H11"/>
    <mergeCell ref="I11:J11"/>
    <mergeCell ref="C15:D15"/>
    <mergeCell ref="C14:D14"/>
    <mergeCell ref="A14:B14"/>
    <mergeCell ref="A17:J17"/>
    <mergeCell ref="K7:M17"/>
    <mergeCell ref="F10:H10"/>
    <mergeCell ref="Q7:R7"/>
    <mergeCell ref="O8:P8"/>
    <mergeCell ref="O9:P9"/>
    <mergeCell ref="N1:P2"/>
    <mergeCell ref="A3:A4"/>
    <mergeCell ref="A1:A2"/>
    <mergeCell ref="B3:E4"/>
    <mergeCell ref="B1:E2"/>
    <mergeCell ref="F1:H1"/>
    <mergeCell ref="F2:H2"/>
    <mergeCell ref="A5:M5"/>
    <mergeCell ref="A6:M6"/>
    <mergeCell ref="F3:H3"/>
    <mergeCell ref="F4:H4"/>
    <mergeCell ref="I1:M1"/>
    <mergeCell ref="I2:M2"/>
    <mergeCell ref="I3:M3"/>
    <mergeCell ref="I4:M4"/>
    <mergeCell ref="A7:B7"/>
    <mergeCell ref="A8:B8"/>
    <mergeCell ref="A9:B9"/>
    <mergeCell ref="C7:D7"/>
    <mergeCell ref="C9:D9"/>
    <mergeCell ref="F8:H8"/>
    <mergeCell ref="I8:J8"/>
    <mergeCell ref="F7:H7"/>
    <mergeCell ref="F9:H9"/>
    <mergeCell ref="I9:J9"/>
    <mergeCell ref="O7:P7"/>
    <mergeCell ref="F12:H12"/>
    <mergeCell ref="I12:J12"/>
    <mergeCell ref="F33:H33"/>
    <mergeCell ref="I7:J7"/>
    <mergeCell ref="A18:M18"/>
    <mergeCell ref="A22:B22"/>
    <mergeCell ref="C22:D22"/>
    <mergeCell ref="A23:B23"/>
    <mergeCell ref="C23:D23"/>
    <mergeCell ref="E20:F29"/>
    <mergeCell ref="G22:J22"/>
    <mergeCell ref="K22:M22"/>
    <mergeCell ref="F13:H13"/>
    <mergeCell ref="F14:H14"/>
    <mergeCell ref="F15:H15"/>
    <mergeCell ref="A10:B10"/>
    <mergeCell ref="A11:B11"/>
    <mergeCell ref="A12:B12"/>
    <mergeCell ref="A13:B13"/>
    <mergeCell ref="A50:B51"/>
    <mergeCell ref="C50:E50"/>
    <mergeCell ref="C51:E51"/>
    <mergeCell ref="A30:M30"/>
    <mergeCell ref="A16:B16"/>
    <mergeCell ref="A28:D29"/>
    <mergeCell ref="G24:M29"/>
    <mergeCell ref="I32:M33"/>
    <mergeCell ref="C16:D16"/>
    <mergeCell ref="K21:M21"/>
    <mergeCell ref="G21:J21"/>
    <mergeCell ref="C42:E42"/>
    <mergeCell ref="F42:H42"/>
    <mergeCell ref="I35:M36"/>
    <mergeCell ref="I38:M39"/>
    <mergeCell ref="I41:M42"/>
    <mergeCell ref="C47:E47"/>
    <mergeCell ref="A24:B24"/>
    <mergeCell ref="C24:D24"/>
    <mergeCell ref="A25:B25"/>
    <mergeCell ref="C25:D25"/>
    <mergeCell ref="C38:E38"/>
    <mergeCell ref="F38:H38"/>
    <mergeCell ref="C39:E39"/>
  </mergeCells>
  <phoneticPr fontId="3" type="noConversion"/>
  <conditionalFormatting sqref="A22:D27">
    <cfRule type="expression" dxfId="94" priority="14">
      <formula>$S$24=0</formula>
    </cfRule>
  </conditionalFormatting>
  <conditionalFormatting sqref="A16:E16 A50:E51 A53:E54 A38:H39 A41:H42 F14 F11:J12 I38 I41 I14:J14 K7">
    <cfRule type="expression" dxfId="93" priority="3">
      <formula>$C$7="Single"</formula>
    </cfRule>
  </conditionalFormatting>
  <conditionalFormatting sqref="A44:E45 A32:M33 F9 I9">
    <cfRule type="expression" dxfId="92" priority="10">
      <formula>$C$9="Slab"</formula>
    </cfRule>
  </conditionalFormatting>
  <conditionalFormatting sqref="A47:E48 A35:M36">
    <cfRule type="expression" dxfId="91" priority="11">
      <formula>$C$7="Double"</formula>
    </cfRule>
  </conditionalFormatting>
  <conditionalFormatting sqref="A17:J17">
    <cfRule type="expression" dxfId="90" priority="1">
      <formula>$S$27=1</formula>
    </cfRule>
  </conditionalFormatting>
  <conditionalFormatting sqref="K7:M17">
    <cfRule type="expression" dxfId="89" priority="13">
      <formula>$S$26=1</formula>
    </cfRule>
  </conditionalFormatting>
  <conditionalFormatting sqref="S38:X39">
    <cfRule type="expression" dxfId="88" priority="7" stopIfTrue="1">
      <formula>$H$76=0</formula>
    </cfRule>
  </conditionalFormatting>
  <dataValidations count="17">
    <dataValidation type="list" allowBlank="1" showInputMessage="1" showErrorMessage="1" sqref="K21:M21" xr:uid="{98E91FFB-5238-405B-A571-3FD9776F0CEE}">
      <formula1>$S$1:$S$5</formula1>
    </dataValidation>
    <dataValidation type="list" allowBlank="1" showInputMessage="1" showErrorMessage="1" sqref="K20:M20" xr:uid="{7942C08C-AC2F-4C2C-B71A-4FD7D1930098}">
      <formula1>$R$1:$R$4</formula1>
    </dataValidation>
    <dataValidation type="list" allowBlank="1" showInputMessage="1" showErrorMessage="1" sqref="C7:D7" xr:uid="{A85B6243-4462-4470-9000-D6AC66DCAAAD}">
      <formula1>"Single, Double"</formula1>
    </dataValidation>
    <dataValidation type="list" allowBlank="1" showInputMessage="1" showErrorMessage="1" sqref="C9:D9" xr:uid="{55DBD634-DA03-41E9-8E9B-D6EC547983F2}">
      <formula1>"Slab,Subfloor"</formula1>
    </dataValidation>
    <dataValidation type="list" allowBlank="1" showInputMessage="1" showErrorMessage="1" sqref="C8:D8" xr:uid="{54BF4704-02E2-41C7-B383-82D7E8CC8B80}">
      <formula1>"1.5,2,3"</formula1>
    </dataValidation>
    <dataValidation type="list" allowBlank="1" showInputMessage="1" showErrorMessage="1" sqref="C20:D20" xr:uid="{C10B4550-9456-438A-A52F-8B6AD00890F5}">
      <formula1>"Low,Medium,High,Very High,Extra High,NZS 3604:2011"</formula1>
    </dataValidation>
    <dataValidation type="list" allowBlank="1" showInputMessage="1" showErrorMessage="1" sqref="Q7:R7 C22:D22" xr:uid="{D8DBC9B5-ECD7-412B-A0BF-366F07A59BCF}">
      <formula1>"A,W"</formula1>
    </dataValidation>
    <dataValidation type="list" allowBlank="1" showInputMessage="1" showErrorMessage="1" sqref="Q8:R8 C23:D23" xr:uid="{DD4E287F-3852-4EB1-8058-29407578AD58}">
      <formula1>"Urban,Open"</formula1>
    </dataValidation>
    <dataValidation type="list" allowBlank="1" showInputMessage="1" showErrorMessage="1" sqref="Q9:R10 C24:D24" xr:uid="{5DDB253E-866C-4453-96E3-8DFCC567579F}">
      <formula1>"Sheltered,Exposed"</formula1>
    </dataValidation>
    <dataValidation type="list" allowBlank="1" showInputMessage="1" showErrorMessage="1" sqref="Q11:R11 C25:D25 I15" xr:uid="{C5D12B33-D07B-4CFE-A0E2-37EEF47C8379}">
      <formula1>"Yes,No"</formula1>
    </dataValidation>
    <dataValidation type="list" allowBlank="1" showInputMessage="1" showErrorMessage="1" sqref="Q12:R17 C26:D26" xr:uid="{010E61A3-BA0C-4A97-A233-CD9531403C32}">
      <formula1>"T1,T2,T3,T4"</formula1>
    </dataValidation>
    <dataValidation type="list" allowBlank="1" showInputMessage="1" showErrorMessage="1" sqref="I7:J7" xr:uid="{1C8F8C23-926C-46E2-9C2D-8DE4CCE66D1E}">
      <formula1>"Light,Heavy,"</formula1>
    </dataValidation>
    <dataValidation type="list" allowBlank="1" showInputMessage="1" showErrorMessage="1" sqref="I9:I12 J9 J11:J12" xr:uid="{7F221720-5D07-4DC9-B4CE-5BF18EDA919C}">
      <formula1>"Light,Medium,Heavy,"</formula1>
    </dataValidation>
    <dataValidation type="decimal" allowBlank="1" showInputMessage="1" showErrorMessage="1" error="Maximum building height is 10 m " sqref="C12:D12" xr:uid="{12C17ABA-4B5A-4214-95EA-E994E1A07DA4}">
      <formula1>0</formula1>
      <formula2>10</formula2>
    </dataValidation>
    <dataValidation type="decimal" allowBlank="1" showInputMessage="1" showErrorMessage="1" error="Maximum 8 meters" sqref="C13:D13" xr:uid="{48B17D25-F0C2-439A-B338-9DD632F5409A}">
      <formula1>0</formula1>
      <formula2>8</formula2>
    </dataValidation>
    <dataValidation type="list" allowBlank="1" showInputMessage="1" showErrorMessage="1" sqref="K22:M22" xr:uid="{6D1247F0-02E3-4336-AFC9-C4A839611D6F}">
      <formula1>$AD$47:$AD$49</formula1>
    </dataValidation>
    <dataValidation type="whole" operator="lessThanOrEqual" allowBlank="1" showInputMessage="1" showErrorMessage="1" error="Maximum roof pitch degree is 60." sqref="I8:J8" xr:uid="{01786AB6-0DF7-4DC0-9FAC-9516A3339091}">
      <formula1>60</formula1>
    </dataValidation>
  </dataValidations>
  <printOptions horizontalCentered="1" verticalCentered="1"/>
  <pageMargins left="0" right="0.39370078740157483" top="0" bottom="0" header="0" footer="0"/>
  <pageSetup paperSize="192" scale="74" fitToWidth="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F83B1-2B46-4E90-9A90-AB95A2E7EF79}">
  <sheetPr codeName="Sheet2"/>
  <dimension ref="A1:AB244"/>
  <sheetViews>
    <sheetView topLeftCell="A46" zoomScaleNormal="100" zoomScaleSheetLayoutView="85" workbookViewId="0">
      <selection activeCell="I93" sqref="I93"/>
    </sheetView>
  </sheetViews>
  <sheetFormatPr defaultColWidth="0" defaultRowHeight="15" customHeight="1" zeroHeight="1" x14ac:dyDescent="0.25"/>
  <cols>
    <col min="1" max="1" width="20.7109375" style="36" customWidth="1"/>
    <col min="2" max="2" width="4.7109375" style="36" customWidth="1"/>
    <col min="3" max="6" width="20.7109375" style="36" customWidth="1"/>
    <col min="7" max="7" width="25.7109375" style="36" customWidth="1"/>
    <col min="8" max="11" width="20.7109375" style="36" customWidth="1"/>
    <col min="12" max="12" width="0.7109375" style="8" customWidth="1"/>
    <col min="13" max="17" width="9.140625" style="8" hidden="1" customWidth="1"/>
    <col min="18" max="27" width="15.7109375" style="8" hidden="1" customWidth="1"/>
    <col min="28" max="16384" width="9.140625" style="8" hidden="1"/>
  </cols>
  <sheetData>
    <row r="1" spans="1:28" ht="50.1" customHeight="1" x14ac:dyDescent="0.25">
      <c r="A1" s="173" t="s">
        <v>117</v>
      </c>
      <c r="B1" s="174"/>
      <c r="C1" s="174"/>
      <c r="D1" s="174"/>
      <c r="E1" s="174"/>
      <c r="F1" s="174"/>
      <c r="G1" s="174"/>
      <c r="H1" s="174"/>
      <c r="I1" s="174"/>
      <c r="J1" s="174"/>
      <c r="K1" s="175"/>
      <c r="L1" s="7"/>
      <c r="M1" s="8" t="s">
        <v>206</v>
      </c>
      <c r="T1" s="9" cm="1">
        <f t="array" ref="T1:V1">'Bracing demand'!F36:H36</f>
        <v>1537.5</v>
      </c>
      <c r="U1" s="8">
        <v>0</v>
      </c>
      <c r="V1" s="8">
        <v>0</v>
      </c>
      <c r="X1" s="9" cm="1">
        <f t="array" ref="X1:Z1">'Bracing demand'!C36:E36</f>
        <v>650</v>
      </c>
      <c r="Y1" s="8">
        <v>0</v>
      </c>
      <c r="Z1" s="8">
        <v>0</v>
      </c>
    </row>
    <row r="2" spans="1:28" ht="26.25" x14ac:dyDescent="0.25">
      <c r="A2" s="176" t="s">
        <v>103</v>
      </c>
      <c r="B2" s="177"/>
      <c r="C2" s="177"/>
      <c r="D2" s="177"/>
      <c r="E2" s="177"/>
      <c r="F2" s="177"/>
      <c r="G2" s="177" t="s">
        <v>104</v>
      </c>
      <c r="H2" s="177"/>
      <c r="I2" s="177"/>
      <c r="J2" s="177"/>
      <c r="K2" s="178"/>
      <c r="L2" s="7"/>
      <c r="T2" s="8" cm="1">
        <f t="array" ref="T2:V2">'Bracing demand'!C48:E48</f>
        <v>996</v>
      </c>
      <c r="U2" s="8">
        <v>0</v>
      </c>
      <c r="V2" s="8">
        <v>0</v>
      </c>
      <c r="X2" s="8" cm="1">
        <f t="array" ref="X2:Z2">'Bracing demand'!C48:E48</f>
        <v>996</v>
      </c>
      <c r="Y2" s="8">
        <v>0</v>
      </c>
      <c r="Z2" s="8">
        <v>0</v>
      </c>
    </row>
    <row r="3" spans="1:28" ht="26.25" x14ac:dyDescent="0.25">
      <c r="A3" s="165" t="s">
        <v>108</v>
      </c>
      <c r="B3" s="166"/>
      <c r="C3" s="166"/>
      <c r="D3" s="133" t="str">
        <f>IF('Bracing demand'!$DU$1=2,"#N/A",$X$1)</f>
        <v>#N/A</v>
      </c>
      <c r="E3" s="133"/>
      <c r="F3" s="33" t="s">
        <v>106</v>
      </c>
      <c r="G3" s="168" t="s">
        <v>108</v>
      </c>
      <c r="H3" s="168"/>
      <c r="I3" s="133" t="str">
        <f>IF('Bracing demand'!$DU$1=2,"#N/A",$T$2)</f>
        <v>#N/A</v>
      </c>
      <c r="J3" s="133"/>
      <c r="K3" s="40" t="s">
        <v>106</v>
      </c>
      <c r="L3" s="7"/>
      <c r="P3" s="10"/>
    </row>
    <row r="4" spans="1:28" ht="26.25" x14ac:dyDescent="0.25">
      <c r="A4" s="165" t="s">
        <v>109</v>
      </c>
      <c r="B4" s="166"/>
      <c r="C4" s="166"/>
      <c r="D4" s="167">
        <f>ROUND(SUM(H20,H31,H42,H53,H64,H75,H86,H97,H108,H119),0)</f>
        <v>32</v>
      </c>
      <c r="E4" s="167"/>
      <c r="F4" s="33" t="s">
        <v>106</v>
      </c>
      <c r="G4" s="168" t="s">
        <v>109</v>
      </c>
      <c r="H4" s="168"/>
      <c r="I4" s="167">
        <f>ROUND(SUM(J20,J31,J42,J53,J64,J75,J86,J97,J108,J119),0)</f>
        <v>38</v>
      </c>
      <c r="J4" s="167"/>
      <c r="K4" s="40" t="s">
        <v>106</v>
      </c>
      <c r="L4" s="7"/>
    </row>
    <row r="5" spans="1:28" ht="26.25" x14ac:dyDescent="0.25">
      <c r="A5" s="165" t="s">
        <v>110</v>
      </c>
      <c r="B5" s="166"/>
      <c r="C5" s="166"/>
      <c r="D5" s="167" t="e">
        <f>(D4/D125)*100</f>
        <v>#VALUE!</v>
      </c>
      <c r="E5" s="167"/>
      <c r="F5" s="33" t="s">
        <v>105</v>
      </c>
      <c r="G5" s="168" t="s">
        <v>110</v>
      </c>
      <c r="H5" s="168"/>
      <c r="I5" s="167" t="e">
        <f>(I4/I3)*100</f>
        <v>#VALUE!</v>
      </c>
      <c r="J5" s="167"/>
      <c r="K5" s="40" t="s">
        <v>105</v>
      </c>
      <c r="L5" s="7"/>
      <c r="AA5" s="8" t="s">
        <v>103</v>
      </c>
      <c r="AB5" s="8" t="s">
        <v>131</v>
      </c>
    </row>
    <row r="6" spans="1:28" ht="24.95" customHeight="1" x14ac:dyDescent="0.25">
      <c r="A6" s="159" t="e">
        <f>IF(D5&gt;=100,"Pass","Fail (Not Enough BU's Achieved).")</f>
        <v>#VALUE!</v>
      </c>
      <c r="B6" s="97"/>
      <c r="C6" s="97"/>
      <c r="D6" s="97"/>
      <c r="E6" s="97"/>
      <c r="F6" s="97"/>
      <c r="G6" s="97" t="e">
        <f>IF(I5&gt;=100,"Pass","Fail (Not Enough BU's Achieved).")</f>
        <v>#VALUE!</v>
      </c>
      <c r="H6" s="97"/>
      <c r="I6" s="97"/>
      <c r="J6" s="97"/>
      <c r="K6" s="169"/>
      <c r="L6" s="7"/>
    </row>
    <row r="7" spans="1:28" ht="24.95" customHeight="1" x14ac:dyDescent="0.25">
      <c r="A7" s="159"/>
      <c r="B7" s="97"/>
      <c r="C7" s="97"/>
      <c r="D7" s="97"/>
      <c r="E7" s="97"/>
      <c r="F7" s="97"/>
      <c r="G7" s="97"/>
      <c r="H7" s="97"/>
      <c r="I7" s="97"/>
      <c r="J7" s="97"/>
      <c r="K7" s="169"/>
      <c r="L7" s="7"/>
    </row>
    <row r="8" spans="1:28" ht="9.9499999999999993" customHeight="1" x14ac:dyDescent="0.25">
      <c r="A8" s="185" t="s">
        <v>107</v>
      </c>
      <c r="B8" s="186"/>
      <c r="C8" s="186"/>
      <c r="D8" s="187">
        <v>10</v>
      </c>
      <c r="E8" s="102" t="s">
        <v>167</v>
      </c>
      <c r="F8" s="102"/>
      <c r="G8" s="102"/>
      <c r="H8" s="102"/>
      <c r="I8" s="102"/>
      <c r="J8" s="102"/>
      <c r="K8" s="188"/>
      <c r="L8" s="7"/>
    </row>
    <row r="9" spans="1:28" ht="9.9499999999999993" customHeight="1" x14ac:dyDescent="0.25">
      <c r="A9" s="185"/>
      <c r="B9" s="186"/>
      <c r="C9" s="186"/>
      <c r="D9" s="187"/>
      <c r="E9" s="102"/>
      <c r="F9" s="102"/>
      <c r="G9" s="102"/>
      <c r="H9" s="102"/>
      <c r="I9" s="102"/>
      <c r="J9" s="102"/>
      <c r="K9" s="188"/>
      <c r="L9" s="7"/>
    </row>
    <row r="10" spans="1:28" ht="9.9499999999999993" customHeight="1" x14ac:dyDescent="0.25">
      <c r="A10" s="185"/>
      <c r="B10" s="186"/>
      <c r="C10" s="186"/>
      <c r="D10" s="187"/>
      <c r="E10" s="102"/>
      <c r="F10" s="102"/>
      <c r="G10" s="102"/>
      <c r="H10" s="102"/>
      <c r="I10" s="102"/>
      <c r="J10" s="102"/>
      <c r="K10" s="188"/>
      <c r="L10" s="7"/>
    </row>
    <row r="11" spans="1:28" ht="15" customHeight="1" x14ac:dyDescent="0.25">
      <c r="A11" s="191"/>
      <c r="B11" s="192"/>
      <c r="C11" s="192"/>
      <c r="D11" s="192"/>
      <c r="E11" s="192"/>
      <c r="F11" s="192"/>
      <c r="G11" s="192"/>
      <c r="H11" s="192"/>
      <c r="I11" s="192"/>
      <c r="J11" s="192"/>
      <c r="K11" s="193"/>
    </row>
    <row r="12" spans="1:28" ht="15" customHeight="1" x14ac:dyDescent="0.25">
      <c r="A12" s="189"/>
      <c r="B12" s="131"/>
      <c r="C12" s="131"/>
      <c r="D12" s="131"/>
      <c r="E12" s="131"/>
      <c r="F12" s="131"/>
      <c r="G12" s="132"/>
      <c r="H12" s="109" t="s">
        <v>103</v>
      </c>
      <c r="I12" s="111"/>
      <c r="J12" s="109" t="s">
        <v>104</v>
      </c>
      <c r="K12" s="190"/>
    </row>
    <row r="13" spans="1:28" ht="15" customHeight="1" x14ac:dyDescent="0.25">
      <c r="A13" s="42" t="s">
        <v>83</v>
      </c>
      <c r="B13" s="33" t="s">
        <v>198</v>
      </c>
      <c r="C13" s="34" t="s">
        <v>86</v>
      </c>
      <c r="D13" s="33" t="s">
        <v>87</v>
      </c>
      <c r="E13" s="33" t="s">
        <v>111</v>
      </c>
      <c r="F13" s="33" t="s">
        <v>84</v>
      </c>
      <c r="G13" s="33" t="s">
        <v>85</v>
      </c>
      <c r="H13" s="24" t="s">
        <v>165</v>
      </c>
      <c r="I13" s="24" t="s">
        <v>169</v>
      </c>
      <c r="J13" s="24" t="s">
        <v>165</v>
      </c>
      <c r="K13" s="41" t="s">
        <v>169</v>
      </c>
      <c r="V13" s="8" t="s">
        <v>164</v>
      </c>
    </row>
    <row r="14" spans="1:28" ht="15" customHeight="1" x14ac:dyDescent="0.25">
      <c r="A14" s="236" t="s">
        <v>13</v>
      </c>
      <c r="B14" s="20" t="s">
        <v>199</v>
      </c>
      <c r="C14" s="19">
        <v>0.45</v>
      </c>
      <c r="D14" s="17">
        <v>0</v>
      </c>
      <c r="E14" s="16">
        <v>2.7</v>
      </c>
      <c r="F14" s="18" t="s">
        <v>132</v>
      </c>
      <c r="G14" s="18" t="s">
        <v>134</v>
      </c>
      <c r="H14" s="37">
        <f>IFERROR(VLOOKUP(F14,'Product Spec'!B:D,2,FALSE)," ")</f>
        <v>81</v>
      </c>
      <c r="I14" s="37">
        <f>IFERROR(C14*H14*P14*MIN(1,2.4/E14)," ")</f>
        <v>32.4</v>
      </c>
      <c r="J14" s="37">
        <f>IFERROR(VLOOKUP(F14,'Product Spec'!B:D,3,FALSE)," ")</f>
        <v>94</v>
      </c>
      <c r="K14" s="43">
        <f>IFERROR(C14*J14*P14*MIN(1,2.4/E14)," ")</f>
        <v>37.6</v>
      </c>
      <c r="P14" s="8">
        <f>IF(OR(D14=30,D14=45,D14=60),Q14,COS(R14))</f>
        <v>1</v>
      </c>
      <c r="Q14" s="8" t="e" cm="1">
        <f t="array" ref="Q14">_xlfn.IFS(D14=30,0.87,D14=45,0.7,D14=60,0.5)</f>
        <v>#N/A</v>
      </c>
      <c r="R14" s="8">
        <f>(PI()/180)*D14</f>
        <v>0</v>
      </c>
      <c r="S14" s="8" t="e">
        <f>H20/H21</f>
        <v>#VALUE!</v>
      </c>
      <c r="V14" s="8">
        <f xml:space="preserve"> C21*15</f>
        <v>0</v>
      </c>
    </row>
    <row r="15" spans="1:28" ht="15" customHeight="1" x14ac:dyDescent="0.25">
      <c r="A15" s="236"/>
      <c r="B15" s="20" t="s">
        <v>200</v>
      </c>
      <c r="C15" s="19"/>
      <c r="D15" s="17"/>
      <c r="E15" s="16"/>
      <c r="F15" s="18"/>
      <c r="G15" s="18"/>
      <c r="H15" s="37" t="str">
        <f>IFERROR(VLOOKUP(F15,'Product Spec'!B:D,2,FALSE)," ")</f>
        <v xml:space="preserve"> </v>
      </c>
      <c r="I15" s="37" t="str">
        <f t="shared" ref="I15:I19" si="0">IFERROR(C15*H15*P15*MIN(1,2.4/E15)," ")</f>
        <v xml:space="preserve"> </v>
      </c>
      <c r="J15" s="37" t="str">
        <f>IFERROR(VLOOKUP(F15,'Product Spec'!B:D,3,FALSE)," ")</f>
        <v xml:space="preserve"> </v>
      </c>
      <c r="K15" s="43" t="str">
        <f t="shared" ref="K15:K19" si="1">IFERROR(C15*J15*P15*MIN(1,2.4/E15)," ")</f>
        <v xml:space="preserve"> </v>
      </c>
      <c r="P15" s="8">
        <f t="shared" ref="P15:P19" si="2">IF(OR(D15=30,D15=45,D15=60),Q15,COS(R15))</f>
        <v>1</v>
      </c>
      <c r="Q15" s="8" t="e" cm="1">
        <f t="array" ref="Q15">_xlfn.IFS(D15=30,0.87,D15=45,0.7,D15=60,0.5)</f>
        <v>#N/A</v>
      </c>
      <c r="R15" s="8">
        <f t="shared" ref="R15:R19" si="3">(PI()/180)*D15</f>
        <v>0</v>
      </c>
      <c r="S15" s="8" t="e">
        <f>J20/J21</f>
        <v>#VALUE!</v>
      </c>
    </row>
    <row r="16" spans="1:28" ht="15" customHeight="1" x14ac:dyDescent="0.25">
      <c r="A16" s="236"/>
      <c r="B16" s="20" t="s">
        <v>201</v>
      </c>
      <c r="C16" s="19"/>
      <c r="D16" s="17"/>
      <c r="E16" s="16"/>
      <c r="F16" s="18"/>
      <c r="G16" s="18"/>
      <c r="H16" s="37" t="str">
        <f>IFERROR(VLOOKUP(F16,'Product Spec'!B:D,2,FALSE)," ")</f>
        <v xml:space="preserve"> </v>
      </c>
      <c r="I16" s="37" t="str">
        <f t="shared" si="0"/>
        <v xml:space="preserve"> </v>
      </c>
      <c r="J16" s="37" t="str">
        <f>IFERROR(VLOOKUP(F16,'Product Spec'!B:D,3,FALSE)," ")</f>
        <v xml:space="preserve"> </v>
      </c>
      <c r="K16" s="43" t="str">
        <f t="shared" si="1"/>
        <v xml:space="preserve"> </v>
      </c>
      <c r="P16" s="8">
        <f t="shared" si="2"/>
        <v>1</v>
      </c>
      <c r="Q16" s="8" t="e" cm="1">
        <f t="array" ref="Q16">_xlfn.IFS(D16=30,0.87,D16=45,0.7,D16=60,0.5)</f>
        <v>#N/A</v>
      </c>
      <c r="R16" s="8">
        <f t="shared" si="3"/>
        <v>0</v>
      </c>
    </row>
    <row r="17" spans="1:22" ht="15" customHeight="1" x14ac:dyDescent="0.25">
      <c r="A17" s="236"/>
      <c r="B17" s="20" t="s">
        <v>202</v>
      </c>
      <c r="C17" s="19"/>
      <c r="D17" s="17"/>
      <c r="E17" s="16"/>
      <c r="F17" s="18"/>
      <c r="G17" s="18"/>
      <c r="H17" s="37" t="str">
        <f>IFERROR(VLOOKUP(F17,'Product Spec'!B:D,2,FALSE)," ")</f>
        <v xml:space="preserve"> </v>
      </c>
      <c r="I17" s="37" t="str">
        <f t="shared" si="0"/>
        <v xml:space="preserve"> </v>
      </c>
      <c r="J17" s="37" t="str">
        <f>IFERROR(VLOOKUP(F17,'Product Spec'!B:D,3,FALSE)," ")</f>
        <v xml:space="preserve"> </v>
      </c>
      <c r="K17" s="43" t="str">
        <f t="shared" si="1"/>
        <v xml:space="preserve"> </v>
      </c>
      <c r="P17" s="8">
        <f t="shared" si="2"/>
        <v>1</v>
      </c>
      <c r="Q17" s="8" t="e" cm="1">
        <f t="array" ref="Q17">_xlfn.IFS(D17=30,0.87,D17=45,0.7,D17=60,0.5)</f>
        <v>#N/A</v>
      </c>
      <c r="R17" s="8">
        <f t="shared" si="3"/>
        <v>0</v>
      </c>
    </row>
    <row r="18" spans="1:22" ht="15" customHeight="1" x14ac:dyDescent="0.25">
      <c r="A18" s="236"/>
      <c r="B18" s="20" t="s">
        <v>203</v>
      </c>
      <c r="C18" s="19"/>
      <c r="D18" s="17"/>
      <c r="E18" s="16"/>
      <c r="F18" s="18"/>
      <c r="G18" s="18"/>
      <c r="H18" s="37" t="str">
        <f>IFERROR(VLOOKUP(F18,'Product Spec'!B:D,2,FALSE)," ")</f>
        <v xml:space="preserve"> </v>
      </c>
      <c r="I18" s="37" t="str">
        <f t="shared" si="0"/>
        <v xml:space="preserve"> </v>
      </c>
      <c r="J18" s="37" t="str">
        <f>IFERROR(VLOOKUP(F18,'Product Spec'!B:D,3,FALSE)," ")</f>
        <v xml:space="preserve"> </v>
      </c>
      <c r="K18" s="43" t="str">
        <f t="shared" si="1"/>
        <v xml:space="preserve"> </v>
      </c>
      <c r="P18" s="8">
        <f t="shared" si="2"/>
        <v>1</v>
      </c>
      <c r="Q18" s="8" t="e" cm="1">
        <f t="array" ref="Q18">_xlfn.IFS(D18=30,0.87,D18=45,0.7,D18=60,0.5)</f>
        <v>#N/A</v>
      </c>
      <c r="R18" s="8">
        <f t="shared" si="3"/>
        <v>0</v>
      </c>
    </row>
    <row r="19" spans="1:22" ht="15" customHeight="1" x14ac:dyDescent="0.25">
      <c r="A19" s="236"/>
      <c r="B19" s="20" t="s">
        <v>204</v>
      </c>
      <c r="C19" s="19"/>
      <c r="D19" s="17"/>
      <c r="E19" s="16"/>
      <c r="F19" s="18"/>
      <c r="G19" s="18"/>
      <c r="H19" s="37" t="str">
        <f>IFERROR(VLOOKUP(F19,'Product Spec'!B:D,2,FALSE)," ")</f>
        <v xml:space="preserve"> </v>
      </c>
      <c r="I19" s="37" t="str">
        <f t="shared" si="0"/>
        <v xml:space="preserve"> </v>
      </c>
      <c r="J19" s="37" t="str">
        <f>IFERROR(VLOOKUP(F19,'Product Spec'!B:D,3,FALSE)," ")</f>
        <v xml:space="preserve"> </v>
      </c>
      <c r="K19" s="43" t="str">
        <f t="shared" si="1"/>
        <v xml:space="preserve"> </v>
      </c>
      <c r="P19" s="8">
        <f t="shared" si="2"/>
        <v>1</v>
      </c>
      <c r="Q19" s="8" t="e" cm="1">
        <f t="array" ref="Q19">_xlfn.IFS(D19=30,0.87,D19=45,0.7,D19=60,0.5)</f>
        <v>#N/A</v>
      </c>
      <c r="R19" s="8">
        <f t="shared" si="3"/>
        <v>0</v>
      </c>
    </row>
    <row r="20" spans="1:22" ht="15" customHeight="1" x14ac:dyDescent="0.25">
      <c r="A20" s="236"/>
      <c r="B20" s="98" t="s">
        <v>170</v>
      </c>
      <c r="C20" s="99"/>
      <c r="D20" s="99"/>
      <c r="E20" s="99"/>
      <c r="F20" s="99"/>
      <c r="G20" s="100"/>
      <c r="H20" s="179" cm="1">
        <f t="array" ref="H20">SUM(IFERROR(I14:I19,0))</f>
        <v>32.4</v>
      </c>
      <c r="I20" s="180"/>
      <c r="J20" s="179" cm="1">
        <f t="array" ref="J20">SUM(IFERROR(K14:K19,0))</f>
        <v>37.6</v>
      </c>
      <c r="K20" s="181"/>
    </row>
    <row r="21" spans="1:22" ht="15" customHeight="1" x14ac:dyDescent="0.25">
      <c r="A21" s="44" t="s">
        <v>168</v>
      </c>
      <c r="B21" s="194"/>
      <c r="C21" s="195"/>
      <c r="D21" s="99" t="s">
        <v>166</v>
      </c>
      <c r="E21" s="99"/>
      <c r="F21" s="99"/>
      <c r="G21" s="100"/>
      <c r="H21" s="150" t="e">
        <f>MAX(100,(0.5*$D$3)/$D$8,V14)</f>
        <v>#VALUE!</v>
      </c>
      <c r="I21" s="151"/>
      <c r="J21" s="150" t="e">
        <f>MAX(100,(0.5*$I$3)/$D$8,V14)</f>
        <v>#VALUE!</v>
      </c>
      <c r="K21" s="152"/>
    </row>
    <row r="22" spans="1:22" customFormat="1" ht="15" customHeight="1" x14ac:dyDescent="0.25">
      <c r="A22" s="153" t="e">
        <f>IF(OR(S14&lt;1,S15&lt;1),"Warning: Doesn’t meet the minimum BU's requirement per line."," ")</f>
        <v>#VALUE!</v>
      </c>
      <c r="B22" s="154"/>
      <c r="C22" s="154"/>
      <c r="D22" s="154"/>
      <c r="E22" s="154"/>
      <c r="F22" s="154"/>
      <c r="G22" s="154"/>
      <c r="H22" s="154"/>
      <c r="I22" s="154"/>
      <c r="J22" s="154"/>
      <c r="K22" s="155"/>
    </row>
    <row r="23" spans="1:22" ht="15" customHeight="1" x14ac:dyDescent="0.25">
      <c r="A23" s="156"/>
      <c r="B23" s="157"/>
      <c r="C23" s="157"/>
      <c r="D23" s="157"/>
      <c r="E23" s="157"/>
      <c r="F23" s="157"/>
      <c r="G23" s="157"/>
      <c r="H23" s="157"/>
      <c r="I23" s="157"/>
      <c r="J23" s="157"/>
      <c r="K23" s="158"/>
      <c r="L23"/>
      <c r="M23"/>
      <c r="N23"/>
      <c r="O23"/>
      <c r="P23"/>
      <c r="Q23"/>
      <c r="R23"/>
      <c r="S23"/>
      <c r="T23"/>
      <c r="U23"/>
      <c r="V23"/>
    </row>
    <row r="24" spans="1:22" ht="15" customHeight="1" x14ac:dyDescent="0.25">
      <c r="A24" s="42" t="s">
        <v>83</v>
      </c>
      <c r="B24" s="33" t="s">
        <v>198</v>
      </c>
      <c r="C24" s="34" t="s">
        <v>86</v>
      </c>
      <c r="D24" s="33" t="s">
        <v>87</v>
      </c>
      <c r="E24" s="33" t="s">
        <v>111</v>
      </c>
      <c r="F24" s="33" t="s">
        <v>84</v>
      </c>
      <c r="G24" s="33" t="s">
        <v>85</v>
      </c>
      <c r="H24" s="24" t="s">
        <v>165</v>
      </c>
      <c r="I24" s="24" t="s">
        <v>169</v>
      </c>
      <c r="J24" s="24" t="s">
        <v>165</v>
      </c>
      <c r="K24" s="41" t="s">
        <v>169</v>
      </c>
      <c r="V24" s="8" t="s">
        <v>164</v>
      </c>
    </row>
    <row r="25" spans="1:22" ht="15" customHeight="1" x14ac:dyDescent="0.25">
      <c r="A25" s="236" t="s">
        <v>39</v>
      </c>
      <c r="B25" s="20" t="s">
        <v>199</v>
      </c>
      <c r="C25" s="19"/>
      <c r="D25" s="17"/>
      <c r="E25" s="16"/>
      <c r="F25" s="18"/>
      <c r="G25" s="18"/>
      <c r="H25" s="37" t="str">
        <f>IFERROR(VLOOKUP(F25,'Product Spec'!B:D,2,FALSE)," ")</f>
        <v xml:space="preserve"> </v>
      </c>
      <c r="I25" s="37" t="str">
        <f>IFERROR(C25*H25*P25*MIN(1,2.4/E25)," ")</f>
        <v xml:space="preserve"> </v>
      </c>
      <c r="J25" s="37" t="str">
        <f>IFERROR(VLOOKUP(F25,'Product Spec'!B:D,3,FALSE)," ")</f>
        <v xml:space="preserve"> </v>
      </c>
      <c r="K25" s="43" t="str">
        <f>IFERROR(C25*J25*P25*MIN(1,2.4/E25)," ")</f>
        <v xml:space="preserve"> </v>
      </c>
      <c r="P25" s="8">
        <f>IF(OR(D25=30,D25=45,D25=60),Q25,COS(R25))</f>
        <v>1</v>
      </c>
      <c r="Q25" s="8" t="e" cm="1">
        <f t="array" ref="Q25">_xlfn.IFS(D25=30,0.87,D25=45,0.7,D25=60,0.5)</f>
        <v>#N/A</v>
      </c>
      <c r="R25" s="8">
        <f>(PI()/180)*D25</f>
        <v>0</v>
      </c>
      <c r="S25" s="8" t="e">
        <f>H31/H32</f>
        <v>#VALUE!</v>
      </c>
      <c r="V25" s="8">
        <f xml:space="preserve"> C32*15</f>
        <v>0</v>
      </c>
    </row>
    <row r="26" spans="1:22" ht="15" customHeight="1" x14ac:dyDescent="0.25">
      <c r="A26" s="236"/>
      <c r="B26" s="20" t="s">
        <v>200</v>
      </c>
      <c r="C26" s="19"/>
      <c r="D26" s="17"/>
      <c r="E26" s="16"/>
      <c r="F26" s="18"/>
      <c r="G26" s="18"/>
      <c r="H26" s="37" t="str">
        <f>IFERROR(VLOOKUP(F26,'Product Spec'!B:D,2,FALSE)," ")</f>
        <v xml:space="preserve"> </v>
      </c>
      <c r="I26" s="37" t="str">
        <f t="shared" ref="I26:I30" si="4">IFERROR(C26*H26*P26*MIN(1,2.4/E26)," ")</f>
        <v xml:space="preserve"> </v>
      </c>
      <c r="J26" s="37" t="str">
        <f>IFERROR(VLOOKUP(F26,'Product Spec'!B:D,3,FALSE)," ")</f>
        <v xml:space="preserve"> </v>
      </c>
      <c r="K26" s="43" t="str">
        <f t="shared" ref="K26:K30" si="5">IFERROR(C26*J26*P26*MIN(1,2.4/E26)," ")</f>
        <v xml:space="preserve"> </v>
      </c>
      <c r="P26" s="8">
        <f t="shared" ref="P26:P30" si="6">IF(OR(D26=30,D26=45,D26=60),Q26,COS(R26))</f>
        <v>1</v>
      </c>
      <c r="Q26" s="8" t="e" cm="1">
        <f t="array" ref="Q26">_xlfn.IFS(D26=30,0.87,D26=45,0.7,D26=60,0.5)</f>
        <v>#N/A</v>
      </c>
      <c r="R26" s="8">
        <f t="shared" ref="R26:R30" si="7">(PI()/180)*D26</f>
        <v>0</v>
      </c>
      <c r="S26" s="8" t="e">
        <f>J31/J32</f>
        <v>#VALUE!</v>
      </c>
    </row>
    <row r="27" spans="1:22" ht="15" customHeight="1" x14ac:dyDescent="0.25">
      <c r="A27" s="236"/>
      <c r="B27" s="20" t="s">
        <v>201</v>
      </c>
      <c r="C27" s="19"/>
      <c r="D27" s="17"/>
      <c r="E27" s="16"/>
      <c r="F27" s="18"/>
      <c r="G27" s="18"/>
      <c r="H27" s="37" t="str">
        <f>IFERROR(VLOOKUP(F27,'Product Spec'!B:D,2,FALSE)," ")</f>
        <v xml:space="preserve"> </v>
      </c>
      <c r="I27" s="37" t="str">
        <f t="shared" si="4"/>
        <v xml:space="preserve"> </v>
      </c>
      <c r="J27" s="37" t="str">
        <f>IFERROR(VLOOKUP(F27,'Product Spec'!B:D,3,FALSE)," ")</f>
        <v xml:space="preserve"> </v>
      </c>
      <c r="K27" s="43" t="str">
        <f t="shared" si="5"/>
        <v xml:space="preserve"> </v>
      </c>
      <c r="P27" s="8">
        <f t="shared" si="6"/>
        <v>1</v>
      </c>
      <c r="Q27" s="8" t="e" cm="1">
        <f t="array" ref="Q27">_xlfn.IFS(D27=30,0.87,D27=45,0.7,D27=60,0.5)</f>
        <v>#N/A</v>
      </c>
      <c r="R27" s="8">
        <f t="shared" si="7"/>
        <v>0</v>
      </c>
    </row>
    <row r="28" spans="1:22" ht="15" customHeight="1" x14ac:dyDescent="0.25">
      <c r="A28" s="236"/>
      <c r="B28" s="20" t="s">
        <v>202</v>
      </c>
      <c r="C28" s="19"/>
      <c r="D28" s="17"/>
      <c r="E28" s="16"/>
      <c r="F28" s="18"/>
      <c r="G28" s="18"/>
      <c r="H28" s="37" t="str">
        <f>IFERROR(VLOOKUP(F28,'Product Spec'!B:D,2,FALSE)," ")</f>
        <v xml:space="preserve"> </v>
      </c>
      <c r="I28" s="37" t="str">
        <f t="shared" si="4"/>
        <v xml:space="preserve"> </v>
      </c>
      <c r="J28" s="37" t="str">
        <f>IFERROR(VLOOKUP(F28,'Product Spec'!B:D,3,FALSE)," ")</f>
        <v xml:space="preserve"> </v>
      </c>
      <c r="K28" s="43" t="str">
        <f t="shared" si="5"/>
        <v xml:space="preserve"> </v>
      </c>
      <c r="P28" s="8">
        <f t="shared" si="6"/>
        <v>1</v>
      </c>
      <c r="Q28" s="8" t="e" cm="1">
        <f t="array" ref="Q28">_xlfn.IFS(D28=30,0.87,D28=45,0.7,D28=60,0.5)</f>
        <v>#N/A</v>
      </c>
      <c r="R28" s="8">
        <f t="shared" si="7"/>
        <v>0</v>
      </c>
    </row>
    <row r="29" spans="1:22" ht="15" customHeight="1" x14ac:dyDescent="0.25">
      <c r="A29" s="236"/>
      <c r="B29" s="20" t="s">
        <v>203</v>
      </c>
      <c r="C29" s="19"/>
      <c r="D29" s="17"/>
      <c r="E29" s="16"/>
      <c r="F29" s="18"/>
      <c r="G29" s="18"/>
      <c r="H29" s="37" t="str">
        <f>IFERROR(VLOOKUP(F29,'Product Spec'!B:D,2,FALSE)," ")</f>
        <v xml:space="preserve"> </v>
      </c>
      <c r="I29" s="37" t="str">
        <f t="shared" si="4"/>
        <v xml:space="preserve"> </v>
      </c>
      <c r="J29" s="37" t="str">
        <f>IFERROR(VLOOKUP(F29,'Product Spec'!B:D,3,FALSE)," ")</f>
        <v xml:space="preserve"> </v>
      </c>
      <c r="K29" s="43" t="str">
        <f t="shared" si="5"/>
        <v xml:space="preserve"> </v>
      </c>
      <c r="P29" s="8">
        <f t="shared" si="6"/>
        <v>1</v>
      </c>
      <c r="Q29" s="8" t="e" cm="1">
        <f t="array" ref="Q29">_xlfn.IFS(D29=30,0.87,D29=45,0.7,D29=60,0.5)</f>
        <v>#N/A</v>
      </c>
      <c r="R29" s="8">
        <f t="shared" si="7"/>
        <v>0</v>
      </c>
    </row>
    <row r="30" spans="1:22" ht="15" customHeight="1" x14ac:dyDescent="0.25">
      <c r="A30" s="236"/>
      <c r="B30" s="20" t="s">
        <v>204</v>
      </c>
      <c r="C30" s="19"/>
      <c r="D30" s="17"/>
      <c r="E30" s="16"/>
      <c r="F30" s="18"/>
      <c r="G30" s="18"/>
      <c r="H30" s="37" t="str">
        <f>IFERROR(VLOOKUP(F30,'Product Spec'!B:D,2,FALSE)," ")</f>
        <v xml:space="preserve"> </v>
      </c>
      <c r="I30" s="37" t="str">
        <f t="shared" si="4"/>
        <v xml:space="preserve"> </v>
      </c>
      <c r="J30" s="37" t="str">
        <f>IFERROR(VLOOKUP(F30,'Product Spec'!B:D,3,FALSE)," ")</f>
        <v xml:space="preserve"> </v>
      </c>
      <c r="K30" s="43" t="str">
        <f t="shared" si="5"/>
        <v xml:space="preserve"> </v>
      </c>
      <c r="P30" s="8">
        <f t="shared" si="6"/>
        <v>1</v>
      </c>
      <c r="Q30" s="8" t="e" cm="1">
        <f t="array" ref="Q30">_xlfn.IFS(D30=30,0.87,D30=45,0.7,D30=60,0.5)</f>
        <v>#N/A</v>
      </c>
      <c r="R30" s="8">
        <f t="shared" si="7"/>
        <v>0</v>
      </c>
    </row>
    <row r="31" spans="1:22" ht="15" customHeight="1" x14ac:dyDescent="0.25">
      <c r="A31" s="236"/>
      <c r="B31" s="98" t="s">
        <v>170</v>
      </c>
      <c r="C31" s="99"/>
      <c r="D31" s="99"/>
      <c r="E31" s="99"/>
      <c r="F31" s="99"/>
      <c r="G31" s="100"/>
      <c r="H31" s="179" cm="1">
        <f t="array" ref="H31">IF(D8&lt;2,0,SUM(IFERROR(I25:I30,0)))</f>
        <v>0</v>
      </c>
      <c r="I31" s="180"/>
      <c r="J31" s="179" cm="1">
        <f t="array" ref="J31">IF(D8&lt;2,0,SUM(IFERROR(K25:K30,0)))</f>
        <v>0</v>
      </c>
      <c r="K31" s="181"/>
    </row>
    <row r="32" spans="1:22" ht="15" customHeight="1" x14ac:dyDescent="0.25">
      <c r="A32" s="44" t="s">
        <v>168</v>
      </c>
      <c r="B32" s="160"/>
      <c r="C32" s="161"/>
      <c r="D32" s="99" t="s">
        <v>166</v>
      </c>
      <c r="E32" s="99"/>
      <c r="F32" s="99"/>
      <c r="G32" s="100"/>
      <c r="H32" s="150" t="e">
        <f>MAX(100,(0.5*$D$3)/$D$8,V25)</f>
        <v>#VALUE!</v>
      </c>
      <c r="I32" s="151"/>
      <c r="J32" s="150" t="e">
        <f>MAX(100,(0.5*$I$3)/$D$8,V25)</f>
        <v>#VALUE!</v>
      </c>
      <c r="K32" s="152"/>
    </row>
    <row r="33" spans="1:22" customFormat="1" ht="15" customHeight="1" x14ac:dyDescent="0.25">
      <c r="A33" s="153" t="e">
        <f>IF(OR(S25&lt;1,S26&lt;1),"Warning: Doesn’t meet the minimum BU's requirement per line."," ")</f>
        <v>#VALUE!</v>
      </c>
      <c r="B33" s="154"/>
      <c r="C33" s="154"/>
      <c r="D33" s="154"/>
      <c r="E33" s="154"/>
      <c r="F33" s="154"/>
      <c r="G33" s="154"/>
      <c r="H33" s="154"/>
      <c r="I33" s="154"/>
      <c r="J33" s="154"/>
      <c r="K33" s="155"/>
    </row>
    <row r="34" spans="1:22" ht="15" customHeight="1" x14ac:dyDescent="0.25">
      <c r="A34" s="156"/>
      <c r="B34" s="157"/>
      <c r="C34" s="157"/>
      <c r="D34" s="157"/>
      <c r="E34" s="157"/>
      <c r="F34" s="157"/>
      <c r="G34" s="157"/>
      <c r="H34" s="157"/>
      <c r="I34" s="157"/>
      <c r="J34" s="157"/>
      <c r="K34" s="158"/>
      <c r="L34"/>
      <c r="M34"/>
      <c r="N34"/>
      <c r="O34"/>
      <c r="P34"/>
      <c r="Q34"/>
      <c r="R34"/>
      <c r="S34"/>
      <c r="T34"/>
      <c r="U34"/>
      <c r="V34"/>
    </row>
    <row r="35" spans="1:22" ht="15" customHeight="1" x14ac:dyDescent="0.25">
      <c r="A35" s="42" t="s">
        <v>83</v>
      </c>
      <c r="B35" s="33" t="s">
        <v>198</v>
      </c>
      <c r="C35" s="34" t="s">
        <v>86</v>
      </c>
      <c r="D35" s="33" t="s">
        <v>87</v>
      </c>
      <c r="E35" s="33" t="s">
        <v>111</v>
      </c>
      <c r="F35" s="33" t="s">
        <v>84</v>
      </c>
      <c r="G35" s="33" t="s">
        <v>85</v>
      </c>
      <c r="H35" s="24" t="s">
        <v>165</v>
      </c>
      <c r="I35" s="24" t="s">
        <v>169</v>
      </c>
      <c r="J35" s="24" t="s">
        <v>165</v>
      </c>
      <c r="K35" s="41" t="s">
        <v>169</v>
      </c>
      <c r="V35" s="8" t="s">
        <v>164</v>
      </c>
    </row>
    <row r="36" spans="1:22" ht="15" customHeight="1" x14ac:dyDescent="0.25">
      <c r="A36" s="236" t="s">
        <v>40</v>
      </c>
      <c r="B36" s="20" t="s">
        <v>199</v>
      </c>
      <c r="C36" s="19"/>
      <c r="D36" s="17"/>
      <c r="E36" s="16"/>
      <c r="F36" s="18"/>
      <c r="G36" s="18"/>
      <c r="H36" s="37" t="str">
        <f>IFERROR(VLOOKUP(F36,'Product Spec'!B:D,2,FALSE)," ")</f>
        <v xml:space="preserve"> </v>
      </c>
      <c r="I36" s="37" t="str">
        <f>IFERROR(C36*H36*P36*MIN(1,2.4/E36)," ")</f>
        <v xml:space="preserve"> </v>
      </c>
      <c r="J36" s="37" t="str">
        <f>IFERROR(VLOOKUP(F36,'Product Spec'!B:D,3,FALSE)," ")</f>
        <v xml:space="preserve"> </v>
      </c>
      <c r="K36" s="43" t="str">
        <f>IFERROR(C36*J36*P36*MIN(1,2.4/E36)," ")</f>
        <v xml:space="preserve"> </v>
      </c>
      <c r="P36" s="8">
        <f>IF(OR(D36=30,D36=45,D36=60),Q36,COS(R36))</f>
        <v>1</v>
      </c>
      <c r="Q36" s="8" t="e" cm="1">
        <f t="array" ref="Q36">_xlfn.IFS(D36=30,0.87,D36=45,0.7,D36=60,0.5)</f>
        <v>#N/A</v>
      </c>
      <c r="R36" s="8">
        <f>(PI()/180)*D36</f>
        <v>0</v>
      </c>
      <c r="S36" s="8" t="e">
        <f>H42/H43</f>
        <v>#VALUE!</v>
      </c>
      <c r="V36" s="8">
        <f xml:space="preserve"> C43*15</f>
        <v>0</v>
      </c>
    </row>
    <row r="37" spans="1:22" ht="15" customHeight="1" x14ac:dyDescent="0.25">
      <c r="A37" s="236"/>
      <c r="B37" s="20" t="s">
        <v>200</v>
      </c>
      <c r="C37" s="19"/>
      <c r="D37" s="17"/>
      <c r="E37" s="16"/>
      <c r="F37" s="18"/>
      <c r="G37" s="18"/>
      <c r="H37" s="37" t="str">
        <f>IFERROR(VLOOKUP(F37,'Product Spec'!B:D,2,FALSE)," ")</f>
        <v xml:space="preserve"> </v>
      </c>
      <c r="I37" s="37" t="str">
        <f t="shared" ref="I37:I41" si="8">IFERROR(C37*H37*P37*MIN(1,2.4/E37)," ")</f>
        <v xml:space="preserve"> </v>
      </c>
      <c r="J37" s="37" t="str">
        <f>IFERROR(VLOOKUP(F37,'Product Spec'!B:D,3,FALSE)," ")</f>
        <v xml:space="preserve"> </v>
      </c>
      <c r="K37" s="43" t="str">
        <f t="shared" ref="K37:K41" si="9">IFERROR(C37*J37*P37*MIN(1,2.4/E37)," ")</f>
        <v xml:space="preserve"> </v>
      </c>
      <c r="P37" s="8">
        <f t="shared" ref="P37:P41" si="10">IF(OR(D37=30,D37=45,D37=60),Q37,COS(R37))</f>
        <v>1</v>
      </c>
      <c r="Q37" s="8" t="e" cm="1">
        <f t="array" ref="Q37">_xlfn.IFS(D37=30,0.87,D37=45,0.7,D37=60,0.5)</f>
        <v>#N/A</v>
      </c>
      <c r="R37" s="8">
        <f t="shared" ref="R37:R41" si="11">(PI()/180)*D37</f>
        <v>0</v>
      </c>
      <c r="S37" s="8" t="e">
        <f>J42/J43</f>
        <v>#VALUE!</v>
      </c>
    </row>
    <row r="38" spans="1:22" ht="15" customHeight="1" x14ac:dyDescent="0.25">
      <c r="A38" s="236"/>
      <c r="B38" s="20" t="s">
        <v>201</v>
      </c>
      <c r="C38" s="19"/>
      <c r="D38" s="17"/>
      <c r="E38" s="16"/>
      <c r="F38" s="18"/>
      <c r="G38" s="18"/>
      <c r="H38" s="37" t="str">
        <f>IFERROR(VLOOKUP(F38,'Product Spec'!B:D,2,FALSE)," ")</f>
        <v xml:space="preserve"> </v>
      </c>
      <c r="I38" s="37" t="str">
        <f t="shared" si="8"/>
        <v xml:space="preserve"> </v>
      </c>
      <c r="J38" s="37" t="str">
        <f>IFERROR(VLOOKUP(F38,'Product Spec'!B:D,3,FALSE)," ")</f>
        <v xml:space="preserve"> </v>
      </c>
      <c r="K38" s="43" t="str">
        <f t="shared" si="9"/>
        <v xml:space="preserve"> </v>
      </c>
      <c r="P38" s="8">
        <f t="shared" si="10"/>
        <v>1</v>
      </c>
      <c r="Q38" s="8" t="e" cm="1">
        <f t="array" ref="Q38">_xlfn.IFS(D38=30,0.87,D38=45,0.7,D38=60,0.5)</f>
        <v>#N/A</v>
      </c>
      <c r="R38" s="8">
        <f t="shared" si="11"/>
        <v>0</v>
      </c>
    </row>
    <row r="39" spans="1:22" ht="15" customHeight="1" x14ac:dyDescent="0.25">
      <c r="A39" s="236"/>
      <c r="B39" s="20" t="s">
        <v>202</v>
      </c>
      <c r="C39" s="19"/>
      <c r="D39" s="17"/>
      <c r="E39" s="16"/>
      <c r="F39" s="18"/>
      <c r="G39" s="18"/>
      <c r="H39" s="37" t="str">
        <f>IFERROR(VLOOKUP(F39,'Product Spec'!B:D,2,FALSE)," ")</f>
        <v xml:space="preserve"> </v>
      </c>
      <c r="I39" s="37" t="str">
        <f t="shared" si="8"/>
        <v xml:space="preserve"> </v>
      </c>
      <c r="J39" s="37" t="str">
        <f>IFERROR(VLOOKUP(F39,'Product Spec'!B:D,3,FALSE)," ")</f>
        <v xml:space="preserve"> </v>
      </c>
      <c r="K39" s="43" t="str">
        <f t="shared" si="9"/>
        <v xml:space="preserve"> </v>
      </c>
      <c r="P39" s="8">
        <f t="shared" si="10"/>
        <v>1</v>
      </c>
      <c r="Q39" s="8" t="e" cm="1">
        <f t="array" ref="Q39">_xlfn.IFS(D39=30,0.87,D39=45,0.7,D39=60,0.5)</f>
        <v>#N/A</v>
      </c>
      <c r="R39" s="8">
        <f t="shared" si="11"/>
        <v>0</v>
      </c>
    </row>
    <row r="40" spans="1:22" ht="15" customHeight="1" x14ac:dyDescent="0.25">
      <c r="A40" s="236"/>
      <c r="B40" s="20" t="s">
        <v>203</v>
      </c>
      <c r="C40" s="19"/>
      <c r="D40" s="17"/>
      <c r="E40" s="16"/>
      <c r="F40" s="18"/>
      <c r="G40" s="18"/>
      <c r="H40" s="37" t="str">
        <f>IFERROR(VLOOKUP(F40,'Product Spec'!B:D,2,FALSE)," ")</f>
        <v xml:space="preserve"> </v>
      </c>
      <c r="I40" s="37" t="str">
        <f t="shared" si="8"/>
        <v xml:space="preserve"> </v>
      </c>
      <c r="J40" s="37" t="str">
        <f>IFERROR(VLOOKUP(F40,'Product Spec'!B:D,3,FALSE)," ")</f>
        <v xml:space="preserve"> </v>
      </c>
      <c r="K40" s="43" t="str">
        <f t="shared" si="9"/>
        <v xml:space="preserve"> </v>
      </c>
      <c r="P40" s="8">
        <f t="shared" si="10"/>
        <v>1</v>
      </c>
      <c r="Q40" s="8" t="e" cm="1">
        <f t="array" ref="Q40">_xlfn.IFS(D40=30,0.87,D40=45,0.7,D40=60,0.5)</f>
        <v>#N/A</v>
      </c>
      <c r="R40" s="8">
        <f t="shared" si="11"/>
        <v>0</v>
      </c>
    </row>
    <row r="41" spans="1:22" ht="15" customHeight="1" x14ac:dyDescent="0.25">
      <c r="A41" s="236"/>
      <c r="B41" s="20" t="s">
        <v>204</v>
      </c>
      <c r="C41" s="19"/>
      <c r="D41" s="17"/>
      <c r="E41" s="16"/>
      <c r="F41" s="18"/>
      <c r="G41" s="18"/>
      <c r="H41" s="37" t="str">
        <f>IFERROR(VLOOKUP(F41,'Product Spec'!B:D,2,FALSE)," ")</f>
        <v xml:space="preserve"> </v>
      </c>
      <c r="I41" s="37" t="str">
        <f t="shared" si="8"/>
        <v xml:space="preserve"> </v>
      </c>
      <c r="J41" s="37" t="str">
        <f>IFERROR(VLOOKUP(F41,'Product Spec'!B:D,3,FALSE)," ")</f>
        <v xml:space="preserve"> </v>
      </c>
      <c r="K41" s="43" t="str">
        <f t="shared" si="9"/>
        <v xml:space="preserve"> </v>
      </c>
      <c r="P41" s="8">
        <f t="shared" si="10"/>
        <v>1</v>
      </c>
      <c r="Q41" s="8" t="e" cm="1">
        <f t="array" ref="Q41">_xlfn.IFS(D41=30,0.87,D41=45,0.7,D41=60,0.5)</f>
        <v>#N/A</v>
      </c>
      <c r="R41" s="8">
        <f t="shared" si="11"/>
        <v>0</v>
      </c>
    </row>
    <row r="42" spans="1:22" ht="15" customHeight="1" x14ac:dyDescent="0.25">
      <c r="A42" s="236"/>
      <c r="B42" s="182" t="s">
        <v>170</v>
      </c>
      <c r="C42" s="183"/>
      <c r="D42" s="183"/>
      <c r="E42" s="183"/>
      <c r="F42" s="183"/>
      <c r="G42" s="184"/>
      <c r="H42" s="179" cm="1">
        <f t="array" ref="H42">IF(D8&lt;3,0,SUM(IFERROR(I36:I41,0)))</f>
        <v>0</v>
      </c>
      <c r="I42" s="180"/>
      <c r="J42" s="179" cm="1">
        <f t="array" ref="J42">IF(D8&lt;3,0,SUM(IFERROR(K36:K41,0)))</f>
        <v>0</v>
      </c>
      <c r="K42" s="181"/>
    </row>
    <row r="43" spans="1:22" ht="15" customHeight="1" x14ac:dyDescent="0.25">
      <c r="A43" s="44" t="s">
        <v>168</v>
      </c>
      <c r="B43" s="160"/>
      <c r="C43" s="161"/>
      <c r="D43" s="99" t="s">
        <v>166</v>
      </c>
      <c r="E43" s="99"/>
      <c r="F43" s="99"/>
      <c r="G43" s="100"/>
      <c r="H43" s="150" t="e">
        <f>MAX(100,(0.5*$D$3)/$D$8,V36)</f>
        <v>#VALUE!</v>
      </c>
      <c r="I43" s="151"/>
      <c r="J43" s="150" t="e">
        <f>MAX(100,(0.5*$I$3)/$D$8,V36)</f>
        <v>#VALUE!</v>
      </c>
      <c r="K43" s="152"/>
    </row>
    <row r="44" spans="1:22" customFormat="1" ht="15" customHeight="1" x14ac:dyDescent="0.25">
      <c r="A44" s="153" t="e">
        <f>IF(OR(S36&lt;1,S37&lt;1),"Warning: Doesn’t meet the minimum BU's requirement per line."," ")</f>
        <v>#VALUE!</v>
      </c>
      <c r="B44" s="154"/>
      <c r="C44" s="154"/>
      <c r="D44" s="154"/>
      <c r="E44" s="154"/>
      <c r="F44" s="154"/>
      <c r="G44" s="154"/>
      <c r="H44" s="154"/>
      <c r="I44" s="154"/>
      <c r="J44" s="154"/>
      <c r="K44" s="155"/>
    </row>
    <row r="45" spans="1:22" customFormat="1" ht="15" customHeight="1" x14ac:dyDescent="0.25">
      <c r="A45" s="170"/>
      <c r="B45" s="171"/>
      <c r="C45" s="171"/>
      <c r="D45" s="171"/>
      <c r="E45" s="171"/>
      <c r="F45" s="171"/>
      <c r="G45" s="171"/>
      <c r="H45" s="171"/>
      <c r="I45" s="171"/>
      <c r="J45" s="171"/>
      <c r="K45" s="172"/>
    </row>
    <row r="46" spans="1:22" ht="15" customHeight="1" x14ac:dyDescent="0.25">
      <c r="A46" s="42" t="s">
        <v>83</v>
      </c>
      <c r="B46" s="33" t="s">
        <v>198</v>
      </c>
      <c r="C46" s="34" t="s">
        <v>86</v>
      </c>
      <c r="D46" s="33" t="s">
        <v>87</v>
      </c>
      <c r="E46" s="33" t="s">
        <v>111</v>
      </c>
      <c r="F46" s="33" t="s">
        <v>84</v>
      </c>
      <c r="G46" s="33" t="s">
        <v>85</v>
      </c>
      <c r="H46" s="24" t="s">
        <v>165</v>
      </c>
      <c r="I46" s="24" t="s">
        <v>169</v>
      </c>
      <c r="J46" s="24" t="s">
        <v>165</v>
      </c>
      <c r="K46" s="41" t="s">
        <v>169</v>
      </c>
      <c r="V46" s="8" t="s">
        <v>164</v>
      </c>
    </row>
    <row r="47" spans="1:22" ht="15" customHeight="1" x14ac:dyDescent="0.25">
      <c r="A47" s="236" t="s">
        <v>41</v>
      </c>
      <c r="B47" s="20" t="s">
        <v>199</v>
      </c>
      <c r="C47" s="19"/>
      <c r="D47" s="17"/>
      <c r="E47" s="16"/>
      <c r="F47" s="18"/>
      <c r="G47" s="18"/>
      <c r="H47" s="37" t="str">
        <f>IFERROR(VLOOKUP(F47,'Product Spec'!B:D,2,FALSE)," ")</f>
        <v xml:space="preserve"> </v>
      </c>
      <c r="I47" s="37" t="str">
        <f>IFERROR(C47*H47*P47*MIN(1,2.4/E47)," ")</f>
        <v xml:space="preserve"> </v>
      </c>
      <c r="J47" s="37" t="str">
        <f>IFERROR(VLOOKUP(F47,'Product Spec'!B:D,3,FALSE)," ")</f>
        <v xml:space="preserve"> </v>
      </c>
      <c r="K47" s="43" t="str">
        <f>IFERROR(C47*J47*P47*MIN(1,2.4/E47)," ")</f>
        <v xml:space="preserve"> </v>
      </c>
      <c r="P47" s="8">
        <f>IF(OR(D47=30,D47=45,D47=60),Q47,COS(R47))</f>
        <v>1</v>
      </c>
      <c r="Q47" s="8" t="e" cm="1">
        <f t="array" ref="Q47">_xlfn.IFS(D47=30,0.87,D47=45,0.7,D47=60,0.5)</f>
        <v>#N/A</v>
      </c>
      <c r="R47" s="8">
        <f>(PI()/180)*D47</f>
        <v>0</v>
      </c>
      <c r="S47" s="8" t="e">
        <f>H53/H54</f>
        <v>#VALUE!</v>
      </c>
      <c r="V47" s="8">
        <f xml:space="preserve"> C54*15</f>
        <v>0</v>
      </c>
    </row>
    <row r="48" spans="1:22" ht="15" customHeight="1" x14ac:dyDescent="0.25">
      <c r="A48" s="236"/>
      <c r="B48" s="20" t="s">
        <v>200</v>
      </c>
      <c r="C48" s="19"/>
      <c r="D48" s="17"/>
      <c r="E48" s="16"/>
      <c r="F48" s="18"/>
      <c r="G48" s="18"/>
      <c r="H48" s="37" t="str">
        <f>IFERROR(VLOOKUP(F48,'Product Spec'!B:D,2,FALSE)," ")</f>
        <v xml:space="preserve"> </v>
      </c>
      <c r="I48" s="37" t="str">
        <f t="shared" ref="I48:I52" si="12">IFERROR(C48*H48*P48*MIN(1,2.4/E48)," ")</f>
        <v xml:space="preserve"> </v>
      </c>
      <c r="J48" s="37" t="str">
        <f>IFERROR(VLOOKUP(F48,'Product Spec'!B:D,3,FALSE)," ")</f>
        <v xml:space="preserve"> </v>
      </c>
      <c r="K48" s="43" t="str">
        <f t="shared" ref="K48:K52" si="13">IFERROR(C48*J48*P48*MIN(1,2.4/E48)," ")</f>
        <v xml:space="preserve"> </v>
      </c>
      <c r="P48" s="8">
        <f t="shared" ref="P48:P52" si="14">IF(OR(D48=30,D48=45,D48=60),Q48,COS(R48))</f>
        <v>1</v>
      </c>
      <c r="Q48" s="8" t="e" cm="1">
        <f t="array" ref="Q48">_xlfn.IFS(D48=30,0.87,D48=45,0.7,D48=60,0.5)</f>
        <v>#N/A</v>
      </c>
      <c r="R48" s="8">
        <f t="shared" ref="R48:R52" si="15">(PI()/180)*D48</f>
        <v>0</v>
      </c>
      <c r="S48" s="8" t="e">
        <f>J53/J54</f>
        <v>#VALUE!</v>
      </c>
    </row>
    <row r="49" spans="1:22" ht="15" customHeight="1" x14ac:dyDescent="0.25">
      <c r="A49" s="236"/>
      <c r="B49" s="20" t="s">
        <v>201</v>
      </c>
      <c r="C49" s="19"/>
      <c r="D49" s="17"/>
      <c r="E49" s="16"/>
      <c r="F49" s="18"/>
      <c r="G49" s="18"/>
      <c r="H49" s="37" t="str">
        <f>IFERROR(VLOOKUP(F49,'Product Spec'!B:D,2,FALSE)," ")</f>
        <v xml:space="preserve"> </v>
      </c>
      <c r="I49" s="37" t="str">
        <f t="shared" si="12"/>
        <v xml:space="preserve"> </v>
      </c>
      <c r="J49" s="37" t="str">
        <f>IFERROR(VLOOKUP(F49,'Product Spec'!B:D,3,FALSE)," ")</f>
        <v xml:space="preserve"> </v>
      </c>
      <c r="K49" s="43" t="str">
        <f t="shared" si="13"/>
        <v xml:space="preserve"> </v>
      </c>
      <c r="P49" s="8">
        <f t="shared" si="14"/>
        <v>1</v>
      </c>
      <c r="Q49" s="8" t="e" cm="1">
        <f t="array" ref="Q49">_xlfn.IFS(D49=30,0.87,D49=45,0.7,D49=60,0.5)</f>
        <v>#N/A</v>
      </c>
      <c r="R49" s="8">
        <f t="shared" si="15"/>
        <v>0</v>
      </c>
    </row>
    <row r="50" spans="1:22" ht="15" customHeight="1" x14ac:dyDescent="0.25">
      <c r="A50" s="236"/>
      <c r="B50" s="20" t="s">
        <v>202</v>
      </c>
      <c r="C50" s="19"/>
      <c r="D50" s="17"/>
      <c r="E50" s="16"/>
      <c r="F50" s="18"/>
      <c r="G50" s="18"/>
      <c r="H50" s="37" t="str">
        <f>IFERROR(VLOOKUP(F50,'Product Spec'!B:D,2,FALSE)," ")</f>
        <v xml:space="preserve"> </v>
      </c>
      <c r="I50" s="37" t="str">
        <f t="shared" si="12"/>
        <v xml:space="preserve"> </v>
      </c>
      <c r="J50" s="37" t="str">
        <f>IFERROR(VLOOKUP(F50,'Product Spec'!B:D,3,FALSE)," ")</f>
        <v xml:space="preserve"> </v>
      </c>
      <c r="K50" s="43" t="str">
        <f t="shared" si="13"/>
        <v xml:space="preserve"> </v>
      </c>
      <c r="P50" s="8">
        <f t="shared" si="14"/>
        <v>1</v>
      </c>
      <c r="Q50" s="8" t="e" cm="1">
        <f t="array" ref="Q50">_xlfn.IFS(D50=30,0.87,D50=45,0.7,D50=60,0.5)</f>
        <v>#N/A</v>
      </c>
      <c r="R50" s="8">
        <f t="shared" si="15"/>
        <v>0</v>
      </c>
    </row>
    <row r="51" spans="1:22" ht="15" customHeight="1" x14ac:dyDescent="0.25">
      <c r="A51" s="236"/>
      <c r="B51" s="20" t="s">
        <v>203</v>
      </c>
      <c r="C51" s="19"/>
      <c r="D51" s="17"/>
      <c r="E51" s="16"/>
      <c r="F51" s="18"/>
      <c r="G51" s="18"/>
      <c r="H51" s="37" t="str">
        <f>IFERROR(VLOOKUP(F51,'Product Spec'!B:D,2,FALSE)," ")</f>
        <v xml:space="preserve"> </v>
      </c>
      <c r="I51" s="37" t="str">
        <f t="shared" si="12"/>
        <v xml:space="preserve"> </v>
      </c>
      <c r="J51" s="37" t="str">
        <f>IFERROR(VLOOKUP(F51,'Product Spec'!B:D,3,FALSE)," ")</f>
        <v xml:space="preserve"> </v>
      </c>
      <c r="K51" s="43" t="str">
        <f t="shared" si="13"/>
        <v xml:space="preserve"> </v>
      </c>
      <c r="P51" s="8">
        <f t="shared" si="14"/>
        <v>1</v>
      </c>
      <c r="Q51" s="8" t="e" cm="1">
        <f t="array" ref="Q51">_xlfn.IFS(D51=30,0.87,D51=45,0.7,D51=60,0.5)</f>
        <v>#N/A</v>
      </c>
      <c r="R51" s="8">
        <f t="shared" si="15"/>
        <v>0</v>
      </c>
    </row>
    <row r="52" spans="1:22" ht="15" customHeight="1" x14ac:dyDescent="0.25">
      <c r="A52" s="236"/>
      <c r="B52" s="20" t="s">
        <v>204</v>
      </c>
      <c r="C52" s="19"/>
      <c r="D52" s="17"/>
      <c r="E52" s="16"/>
      <c r="F52" s="18"/>
      <c r="G52" s="18"/>
      <c r="H52" s="37" t="str">
        <f>IFERROR(VLOOKUP(F52,'Product Spec'!B:D,2,FALSE)," ")</f>
        <v xml:space="preserve"> </v>
      </c>
      <c r="I52" s="37" t="str">
        <f t="shared" si="12"/>
        <v xml:space="preserve"> </v>
      </c>
      <c r="J52" s="37" t="str">
        <f>IFERROR(VLOOKUP(F52,'Product Spec'!B:D,3,FALSE)," ")</f>
        <v xml:space="preserve"> </v>
      </c>
      <c r="K52" s="43" t="str">
        <f t="shared" si="13"/>
        <v xml:space="preserve"> </v>
      </c>
      <c r="P52" s="8">
        <f t="shared" si="14"/>
        <v>1</v>
      </c>
      <c r="Q52" s="8" t="e" cm="1">
        <f t="array" ref="Q52">_xlfn.IFS(D52=30,0.87,D52=45,0.7,D52=60,0.5)</f>
        <v>#N/A</v>
      </c>
      <c r="R52" s="8">
        <f t="shared" si="15"/>
        <v>0</v>
      </c>
    </row>
    <row r="53" spans="1:22" ht="15" customHeight="1" x14ac:dyDescent="0.25">
      <c r="A53" s="236"/>
      <c r="B53" s="98" t="s">
        <v>170</v>
      </c>
      <c r="C53" s="99"/>
      <c r="D53" s="99"/>
      <c r="E53" s="99"/>
      <c r="F53" s="99"/>
      <c r="G53" s="100"/>
      <c r="H53" s="147" cm="1">
        <f t="array" ref="H53">IF(D8&lt;4,0,SUM(IFERROR(I47:I52,0)))</f>
        <v>0</v>
      </c>
      <c r="I53" s="148"/>
      <c r="J53" s="147" cm="1">
        <f t="array" ref="J53">IF(D8&lt;4,0,SUM(IFERROR(K47:K52,0)))</f>
        <v>0</v>
      </c>
      <c r="K53" s="149"/>
    </row>
    <row r="54" spans="1:22" ht="15" customHeight="1" x14ac:dyDescent="0.25">
      <c r="A54" s="44" t="s">
        <v>168</v>
      </c>
      <c r="B54" s="160"/>
      <c r="C54" s="161"/>
      <c r="D54" s="99" t="s">
        <v>166</v>
      </c>
      <c r="E54" s="99"/>
      <c r="F54" s="99"/>
      <c r="G54" s="100"/>
      <c r="H54" s="150" t="e">
        <f>MAX(100,(0.5*$D$3)/$D$8,V47)</f>
        <v>#VALUE!</v>
      </c>
      <c r="I54" s="151"/>
      <c r="J54" s="150" t="e">
        <f>MAX(100,(0.5*$I$3)/$D$8,V47)</f>
        <v>#VALUE!</v>
      </c>
      <c r="K54" s="152"/>
    </row>
    <row r="55" spans="1:22" customFormat="1" ht="15" customHeight="1" x14ac:dyDescent="0.25">
      <c r="A55" s="153" t="e">
        <f>IF(OR(S47&lt;1,S48&lt;1),"Warning: Doesn’t meet the minimum BU's requirement per line."," ")</f>
        <v>#VALUE!</v>
      </c>
      <c r="B55" s="154"/>
      <c r="C55" s="154"/>
      <c r="D55" s="154"/>
      <c r="E55" s="154"/>
      <c r="F55" s="154"/>
      <c r="G55" s="154"/>
      <c r="H55" s="154"/>
      <c r="I55" s="154"/>
      <c r="J55" s="154"/>
      <c r="K55" s="155"/>
    </row>
    <row r="56" spans="1:22" ht="15" customHeight="1" x14ac:dyDescent="0.25">
      <c r="A56" s="156"/>
      <c r="B56" s="157"/>
      <c r="C56" s="157"/>
      <c r="D56" s="157"/>
      <c r="E56" s="157"/>
      <c r="F56" s="157"/>
      <c r="G56" s="157"/>
      <c r="H56" s="157"/>
      <c r="I56" s="157"/>
      <c r="J56" s="157"/>
      <c r="K56" s="158"/>
      <c r="L56"/>
      <c r="M56"/>
      <c r="N56"/>
      <c r="O56"/>
      <c r="P56"/>
      <c r="Q56"/>
      <c r="R56"/>
      <c r="S56"/>
      <c r="T56"/>
      <c r="U56"/>
      <c r="V56"/>
    </row>
    <row r="57" spans="1:22" ht="15" customHeight="1" x14ac:dyDescent="0.25">
      <c r="A57" s="42" t="s">
        <v>83</v>
      </c>
      <c r="B57" s="33" t="s">
        <v>198</v>
      </c>
      <c r="C57" s="34" t="s">
        <v>86</v>
      </c>
      <c r="D57" s="33" t="s">
        <v>87</v>
      </c>
      <c r="E57" s="33" t="s">
        <v>111</v>
      </c>
      <c r="F57" s="33" t="s">
        <v>84</v>
      </c>
      <c r="G57" s="33" t="s">
        <v>85</v>
      </c>
      <c r="H57" s="24" t="s">
        <v>165</v>
      </c>
      <c r="I57" s="24" t="s">
        <v>169</v>
      </c>
      <c r="J57" s="24" t="s">
        <v>165</v>
      </c>
      <c r="K57" s="41" t="s">
        <v>169</v>
      </c>
      <c r="V57" s="8" t="s">
        <v>164</v>
      </c>
    </row>
    <row r="58" spans="1:22" ht="15" customHeight="1" x14ac:dyDescent="0.25">
      <c r="A58" s="236" t="s">
        <v>42</v>
      </c>
      <c r="B58" s="20" t="s">
        <v>199</v>
      </c>
      <c r="C58" s="19"/>
      <c r="D58" s="17"/>
      <c r="E58" s="16"/>
      <c r="F58" s="18"/>
      <c r="G58" s="18"/>
      <c r="H58" s="37" t="str">
        <f>IFERROR(VLOOKUP(F58,'Product Spec'!B:D,2,FALSE)," ")</f>
        <v xml:space="preserve"> </v>
      </c>
      <c r="I58" s="37" t="str">
        <f>IFERROR(C58*H58*P58*MIN(1,2.4/E58)," ")</f>
        <v xml:space="preserve"> </v>
      </c>
      <c r="J58" s="37" t="str">
        <f>IFERROR(VLOOKUP(F58,'Product Spec'!B:D,3,FALSE)," ")</f>
        <v xml:space="preserve"> </v>
      </c>
      <c r="K58" s="43" t="str">
        <f>IFERROR(C58*J58*P58*MIN(1,2.4/E58)," ")</f>
        <v xml:space="preserve"> </v>
      </c>
      <c r="P58" s="8">
        <f>IF(OR(D58=30,D58=45,D58=60),Q58,COS(R58))</f>
        <v>1</v>
      </c>
      <c r="Q58" s="8" t="e" cm="1">
        <f t="array" ref="Q58">_xlfn.IFS(D58=30,0.87,D58=45,0.7,D58=60,0.5)</f>
        <v>#N/A</v>
      </c>
      <c r="R58" s="8">
        <f>(PI()/180)*D58</f>
        <v>0</v>
      </c>
      <c r="S58" s="8" t="e">
        <f>H64/H65</f>
        <v>#VALUE!</v>
      </c>
      <c r="V58" s="8">
        <f xml:space="preserve"> C65*15</f>
        <v>0</v>
      </c>
    </row>
    <row r="59" spans="1:22" ht="15" customHeight="1" x14ac:dyDescent="0.25">
      <c r="A59" s="236"/>
      <c r="B59" s="20" t="s">
        <v>200</v>
      </c>
      <c r="C59" s="19"/>
      <c r="D59" s="17"/>
      <c r="E59" s="16"/>
      <c r="F59" s="18"/>
      <c r="G59" s="18"/>
      <c r="H59" s="37" t="str">
        <f>IFERROR(VLOOKUP(F59,'Product Spec'!B:D,2,FALSE)," ")</f>
        <v xml:space="preserve"> </v>
      </c>
      <c r="I59" s="37" t="str">
        <f t="shared" ref="I59:I63" si="16">IFERROR(C59*H59*P59*MIN(1,2.4/E59)," ")</f>
        <v xml:space="preserve"> </v>
      </c>
      <c r="J59" s="37" t="str">
        <f>IFERROR(VLOOKUP(F59,'Product Spec'!B:D,3,FALSE)," ")</f>
        <v xml:space="preserve"> </v>
      </c>
      <c r="K59" s="43" t="str">
        <f t="shared" ref="K59:K63" si="17">IFERROR(C59*J59*P59*MIN(1,2.4/E59)," ")</f>
        <v xml:space="preserve"> </v>
      </c>
      <c r="P59" s="8">
        <f t="shared" ref="P59:P63" si="18">IF(OR(D59=30,D59=45,D59=60),Q59,COS(R59))</f>
        <v>1</v>
      </c>
      <c r="Q59" s="8" t="e" cm="1">
        <f t="array" ref="Q59">_xlfn.IFS(D59=30,0.87,D59=45,0.7,D59=60,0.5)</f>
        <v>#N/A</v>
      </c>
      <c r="R59" s="8">
        <f t="shared" ref="R59:R63" si="19">(PI()/180)*D59</f>
        <v>0</v>
      </c>
      <c r="S59" s="8" t="e">
        <f>J64/J65</f>
        <v>#VALUE!</v>
      </c>
    </row>
    <row r="60" spans="1:22" ht="15" customHeight="1" x14ac:dyDescent="0.25">
      <c r="A60" s="236"/>
      <c r="B60" s="20" t="s">
        <v>201</v>
      </c>
      <c r="C60" s="19"/>
      <c r="D60" s="17"/>
      <c r="E60" s="16"/>
      <c r="F60" s="18"/>
      <c r="G60" s="18"/>
      <c r="H60" s="37" t="str">
        <f>IFERROR(VLOOKUP(F60,'Product Spec'!B:D,2,FALSE)," ")</f>
        <v xml:space="preserve"> </v>
      </c>
      <c r="I60" s="37" t="str">
        <f t="shared" si="16"/>
        <v xml:space="preserve"> </v>
      </c>
      <c r="J60" s="37" t="str">
        <f>IFERROR(VLOOKUP(F60,'Product Spec'!B:D,3,FALSE)," ")</f>
        <v xml:space="preserve"> </v>
      </c>
      <c r="K60" s="43" t="str">
        <f t="shared" si="17"/>
        <v xml:space="preserve"> </v>
      </c>
      <c r="P60" s="8">
        <f t="shared" si="18"/>
        <v>1</v>
      </c>
      <c r="Q60" s="8" t="e" cm="1">
        <f t="array" ref="Q60">_xlfn.IFS(D60=30,0.87,D60=45,0.7,D60=60,0.5)</f>
        <v>#N/A</v>
      </c>
      <c r="R60" s="8">
        <f t="shared" si="19"/>
        <v>0</v>
      </c>
    </row>
    <row r="61" spans="1:22" ht="15" customHeight="1" x14ac:dyDescent="0.25">
      <c r="A61" s="236"/>
      <c r="B61" s="20" t="s">
        <v>202</v>
      </c>
      <c r="C61" s="19"/>
      <c r="D61" s="17"/>
      <c r="E61" s="16"/>
      <c r="F61" s="18"/>
      <c r="G61" s="18"/>
      <c r="H61" s="37" t="str">
        <f>IFERROR(VLOOKUP(F61,'Product Spec'!B:D,2,FALSE)," ")</f>
        <v xml:space="preserve"> </v>
      </c>
      <c r="I61" s="37" t="str">
        <f t="shared" si="16"/>
        <v xml:space="preserve"> </v>
      </c>
      <c r="J61" s="37" t="str">
        <f>IFERROR(VLOOKUP(F61,'Product Spec'!B:D,3,FALSE)," ")</f>
        <v xml:space="preserve"> </v>
      </c>
      <c r="K61" s="43" t="str">
        <f t="shared" si="17"/>
        <v xml:space="preserve"> </v>
      </c>
      <c r="P61" s="8">
        <f t="shared" si="18"/>
        <v>1</v>
      </c>
      <c r="Q61" s="8" t="e" cm="1">
        <f t="array" ref="Q61">_xlfn.IFS(D61=30,0.87,D61=45,0.7,D61=60,0.5)</f>
        <v>#N/A</v>
      </c>
      <c r="R61" s="8">
        <f t="shared" si="19"/>
        <v>0</v>
      </c>
    </row>
    <row r="62" spans="1:22" ht="15" customHeight="1" x14ac:dyDescent="0.25">
      <c r="A62" s="236"/>
      <c r="B62" s="20" t="s">
        <v>203</v>
      </c>
      <c r="C62" s="19"/>
      <c r="D62" s="17"/>
      <c r="E62" s="16"/>
      <c r="F62" s="18"/>
      <c r="G62" s="18"/>
      <c r="H62" s="37" t="str">
        <f>IFERROR(VLOOKUP(F62,'Product Spec'!B:D,2,FALSE)," ")</f>
        <v xml:space="preserve"> </v>
      </c>
      <c r="I62" s="37" t="str">
        <f t="shared" si="16"/>
        <v xml:space="preserve"> </v>
      </c>
      <c r="J62" s="37" t="str">
        <f>IFERROR(VLOOKUP(F62,'Product Spec'!B:D,3,FALSE)," ")</f>
        <v xml:space="preserve"> </v>
      </c>
      <c r="K62" s="43" t="str">
        <f t="shared" si="17"/>
        <v xml:space="preserve"> </v>
      </c>
      <c r="P62" s="8">
        <f t="shared" si="18"/>
        <v>1</v>
      </c>
      <c r="Q62" s="8" t="e" cm="1">
        <f t="array" ref="Q62">_xlfn.IFS(D62=30,0.87,D62=45,0.7,D62=60,0.5)</f>
        <v>#N/A</v>
      </c>
      <c r="R62" s="8">
        <f t="shared" si="19"/>
        <v>0</v>
      </c>
    </row>
    <row r="63" spans="1:22" ht="15" customHeight="1" x14ac:dyDescent="0.25">
      <c r="A63" s="236"/>
      <c r="B63" s="20" t="s">
        <v>204</v>
      </c>
      <c r="C63" s="19"/>
      <c r="D63" s="17"/>
      <c r="E63" s="16"/>
      <c r="F63" s="18"/>
      <c r="G63" s="18"/>
      <c r="H63" s="37" t="str">
        <f>IFERROR(VLOOKUP(F63,'Product Spec'!B:D,2,FALSE)," ")</f>
        <v xml:space="preserve"> </v>
      </c>
      <c r="I63" s="37" t="str">
        <f t="shared" si="16"/>
        <v xml:space="preserve"> </v>
      </c>
      <c r="J63" s="37" t="str">
        <f>IFERROR(VLOOKUP(F63,'Product Spec'!B:D,3,FALSE)," ")</f>
        <v xml:space="preserve"> </v>
      </c>
      <c r="K63" s="43" t="str">
        <f t="shared" si="17"/>
        <v xml:space="preserve"> </v>
      </c>
      <c r="P63" s="8">
        <f t="shared" si="18"/>
        <v>1</v>
      </c>
      <c r="Q63" s="8" t="e" cm="1">
        <f t="array" ref="Q63">_xlfn.IFS(D63=30,0.87,D63=45,0.7,D63=60,0.5)</f>
        <v>#N/A</v>
      </c>
      <c r="R63" s="8">
        <f t="shared" si="19"/>
        <v>0</v>
      </c>
    </row>
    <row r="64" spans="1:22" ht="15" customHeight="1" x14ac:dyDescent="0.25">
      <c r="A64" s="236"/>
      <c r="B64" s="98" t="s">
        <v>170</v>
      </c>
      <c r="C64" s="99"/>
      <c r="D64" s="99"/>
      <c r="E64" s="99"/>
      <c r="F64" s="99"/>
      <c r="G64" s="100"/>
      <c r="H64" s="147" cm="1">
        <f t="array" ref="H64">IF(D8&lt;5,0,SUM(IFERROR(I58:I63,0)))</f>
        <v>0</v>
      </c>
      <c r="I64" s="148"/>
      <c r="J64" s="147" cm="1">
        <f t="array" ref="J64">IF(D8&lt;5,0,SUM(IFERROR(K58:K63,0)))</f>
        <v>0</v>
      </c>
      <c r="K64" s="149"/>
    </row>
    <row r="65" spans="1:22" ht="15" customHeight="1" x14ac:dyDescent="0.25">
      <c r="A65" s="44" t="s">
        <v>168</v>
      </c>
      <c r="B65" s="160"/>
      <c r="C65" s="161"/>
      <c r="D65" s="99" t="s">
        <v>166</v>
      </c>
      <c r="E65" s="99"/>
      <c r="F65" s="99"/>
      <c r="G65" s="100"/>
      <c r="H65" s="150" t="e">
        <f>MAX(100,(0.5*$D$3)/$D$8,V58)</f>
        <v>#VALUE!</v>
      </c>
      <c r="I65" s="151"/>
      <c r="J65" s="150" t="e">
        <f>MAX(100,(0.5*$I$3)/$D$8,V58)</f>
        <v>#VALUE!</v>
      </c>
      <c r="K65" s="152"/>
    </row>
    <row r="66" spans="1:22" customFormat="1" ht="15" customHeight="1" x14ac:dyDescent="0.25">
      <c r="A66" s="153" t="e">
        <f>IF(OR(S58&lt;1,S59&lt;1),"Warning: Doesn’t meet the minimum BU's requirement per line."," ")</f>
        <v>#VALUE!</v>
      </c>
      <c r="B66" s="154"/>
      <c r="C66" s="154"/>
      <c r="D66" s="154"/>
      <c r="E66" s="154"/>
      <c r="F66" s="154"/>
      <c r="G66" s="154"/>
      <c r="H66" s="154"/>
      <c r="I66" s="154"/>
      <c r="J66" s="154"/>
      <c r="K66" s="155"/>
    </row>
    <row r="67" spans="1:22" ht="15" customHeight="1" x14ac:dyDescent="0.25">
      <c r="A67" s="156"/>
      <c r="B67" s="157"/>
      <c r="C67" s="157"/>
      <c r="D67" s="157"/>
      <c r="E67" s="157"/>
      <c r="F67" s="157"/>
      <c r="G67" s="157"/>
      <c r="H67" s="157"/>
      <c r="I67" s="157"/>
      <c r="J67" s="157"/>
      <c r="K67" s="158"/>
      <c r="L67"/>
      <c r="M67"/>
      <c r="N67"/>
      <c r="O67"/>
      <c r="P67"/>
      <c r="Q67"/>
      <c r="R67"/>
      <c r="S67"/>
      <c r="T67"/>
      <c r="U67"/>
      <c r="V67"/>
    </row>
    <row r="68" spans="1:22" ht="15" customHeight="1" x14ac:dyDescent="0.25">
      <c r="A68" s="42" t="s">
        <v>83</v>
      </c>
      <c r="B68" s="33" t="s">
        <v>198</v>
      </c>
      <c r="C68" s="34" t="s">
        <v>86</v>
      </c>
      <c r="D68" s="33" t="s">
        <v>87</v>
      </c>
      <c r="E68" s="33" t="s">
        <v>111</v>
      </c>
      <c r="F68" s="33" t="s">
        <v>84</v>
      </c>
      <c r="G68" s="33" t="s">
        <v>85</v>
      </c>
      <c r="H68" s="24" t="s">
        <v>165</v>
      </c>
      <c r="I68" s="24" t="s">
        <v>169</v>
      </c>
      <c r="J68" s="24" t="s">
        <v>165</v>
      </c>
      <c r="K68" s="41" t="s">
        <v>169</v>
      </c>
      <c r="V68" s="8" t="s">
        <v>164</v>
      </c>
    </row>
    <row r="69" spans="1:22" ht="15" customHeight="1" x14ac:dyDescent="0.25">
      <c r="A69" s="236" t="s">
        <v>112</v>
      </c>
      <c r="B69" s="20" t="s">
        <v>199</v>
      </c>
      <c r="C69" s="19"/>
      <c r="D69" s="17"/>
      <c r="E69" s="16"/>
      <c r="F69" s="18"/>
      <c r="G69" s="18"/>
      <c r="H69" s="37" t="str">
        <f>IFERROR(VLOOKUP(F69,'Product Spec'!B:D,2,FALSE)," ")</f>
        <v xml:space="preserve"> </v>
      </c>
      <c r="I69" s="37" t="str">
        <f>IFERROR(C69*H69*P69*MIN(1,2.4/E69)," ")</f>
        <v xml:space="preserve"> </v>
      </c>
      <c r="J69" s="37" t="str">
        <f>IFERROR(VLOOKUP(F69,'Product Spec'!B:D,3,FALSE)," ")</f>
        <v xml:space="preserve"> </v>
      </c>
      <c r="K69" s="43" t="str">
        <f>IFERROR(C69*J69*P69*MIN(1,2.4/E69)," ")</f>
        <v xml:space="preserve"> </v>
      </c>
      <c r="P69" s="8">
        <f>IF(OR(D69=30,D69=45,D69=60),Q69,COS(R69))</f>
        <v>1</v>
      </c>
      <c r="Q69" s="8" t="e" cm="1">
        <f t="array" ref="Q69">_xlfn.IFS(D69=30,0.87,D69=45,0.7,D69=60,0.5)</f>
        <v>#N/A</v>
      </c>
      <c r="R69" s="8">
        <f>(PI()/180)*D69</f>
        <v>0</v>
      </c>
      <c r="S69" s="8" t="e">
        <f>H75/H76</f>
        <v>#VALUE!</v>
      </c>
      <c r="V69" s="8">
        <f xml:space="preserve"> C76*15</f>
        <v>0</v>
      </c>
    </row>
    <row r="70" spans="1:22" ht="15" customHeight="1" x14ac:dyDescent="0.25">
      <c r="A70" s="236"/>
      <c r="B70" s="20" t="s">
        <v>200</v>
      </c>
      <c r="C70" s="19"/>
      <c r="D70" s="17"/>
      <c r="E70" s="16"/>
      <c r="F70" s="18"/>
      <c r="G70" s="18"/>
      <c r="H70" s="37" t="str">
        <f>IFERROR(VLOOKUP(F70,'Product Spec'!B:D,2,FALSE)," ")</f>
        <v xml:space="preserve"> </v>
      </c>
      <c r="I70" s="37" t="str">
        <f t="shared" ref="I70:I74" si="20">IFERROR(C70*H70*P70*MIN(1,2.4/E70)," ")</f>
        <v xml:space="preserve"> </v>
      </c>
      <c r="J70" s="37" t="str">
        <f>IFERROR(VLOOKUP(F70,'Product Spec'!B:D,3,FALSE)," ")</f>
        <v xml:space="preserve"> </v>
      </c>
      <c r="K70" s="43" t="str">
        <f t="shared" ref="K70:K74" si="21">IFERROR(C70*J70*P70*MIN(1,2.4/E70)," ")</f>
        <v xml:space="preserve"> </v>
      </c>
      <c r="P70" s="8">
        <f t="shared" ref="P70:P74" si="22">IF(OR(D70=30,D70=45,D70=60),Q70,COS(R70))</f>
        <v>1</v>
      </c>
      <c r="Q70" s="8" t="e" cm="1">
        <f t="array" ref="Q70">_xlfn.IFS(D70=30,0.87,D70=45,0.7,D70=60,0.5)</f>
        <v>#N/A</v>
      </c>
      <c r="R70" s="8">
        <f t="shared" ref="R70:R74" si="23">(PI()/180)*D70</f>
        <v>0</v>
      </c>
      <c r="S70" s="8" t="e">
        <f>J75/J76</f>
        <v>#VALUE!</v>
      </c>
    </row>
    <row r="71" spans="1:22" ht="15" customHeight="1" x14ac:dyDescent="0.25">
      <c r="A71" s="236"/>
      <c r="B71" s="20" t="s">
        <v>201</v>
      </c>
      <c r="C71" s="19"/>
      <c r="D71" s="17"/>
      <c r="E71" s="16"/>
      <c r="F71" s="18"/>
      <c r="G71" s="18"/>
      <c r="H71" s="37" t="str">
        <f>IFERROR(VLOOKUP(F71,'Product Spec'!B:D,2,FALSE)," ")</f>
        <v xml:space="preserve"> </v>
      </c>
      <c r="I71" s="37" t="str">
        <f t="shared" si="20"/>
        <v xml:space="preserve"> </v>
      </c>
      <c r="J71" s="37" t="str">
        <f>IFERROR(VLOOKUP(F71,'Product Spec'!B:D,3,FALSE)," ")</f>
        <v xml:space="preserve"> </v>
      </c>
      <c r="K71" s="43" t="str">
        <f t="shared" si="21"/>
        <v xml:space="preserve"> </v>
      </c>
      <c r="P71" s="8">
        <f t="shared" si="22"/>
        <v>1</v>
      </c>
      <c r="Q71" s="8" t="e" cm="1">
        <f t="array" ref="Q71">_xlfn.IFS(D71=30,0.87,D71=45,0.7,D71=60,0.5)</f>
        <v>#N/A</v>
      </c>
      <c r="R71" s="8">
        <f t="shared" si="23"/>
        <v>0</v>
      </c>
    </row>
    <row r="72" spans="1:22" ht="15" customHeight="1" x14ac:dyDescent="0.25">
      <c r="A72" s="236"/>
      <c r="B72" s="20" t="s">
        <v>202</v>
      </c>
      <c r="C72" s="19"/>
      <c r="D72" s="17"/>
      <c r="E72" s="16"/>
      <c r="F72" s="18"/>
      <c r="G72" s="18"/>
      <c r="H72" s="37" t="str">
        <f>IFERROR(VLOOKUP(F72,'Product Spec'!B:D,2,FALSE)," ")</f>
        <v xml:space="preserve"> </v>
      </c>
      <c r="I72" s="37" t="str">
        <f t="shared" si="20"/>
        <v xml:space="preserve"> </v>
      </c>
      <c r="J72" s="37" t="str">
        <f>IFERROR(VLOOKUP(F72,'Product Spec'!B:D,3,FALSE)," ")</f>
        <v xml:space="preserve"> </v>
      </c>
      <c r="K72" s="43" t="str">
        <f t="shared" si="21"/>
        <v xml:space="preserve"> </v>
      </c>
      <c r="P72" s="8">
        <f t="shared" si="22"/>
        <v>1</v>
      </c>
      <c r="Q72" s="8" t="e" cm="1">
        <f t="array" ref="Q72">_xlfn.IFS(D72=30,0.87,D72=45,0.7,D72=60,0.5)</f>
        <v>#N/A</v>
      </c>
      <c r="R72" s="8">
        <f t="shared" si="23"/>
        <v>0</v>
      </c>
    </row>
    <row r="73" spans="1:22" ht="15" customHeight="1" x14ac:dyDescent="0.25">
      <c r="A73" s="236"/>
      <c r="B73" s="20" t="s">
        <v>203</v>
      </c>
      <c r="C73" s="19"/>
      <c r="D73" s="17"/>
      <c r="E73" s="16"/>
      <c r="F73" s="18"/>
      <c r="G73" s="18"/>
      <c r="H73" s="37" t="str">
        <f>IFERROR(VLOOKUP(F73,'Product Spec'!B:D,2,FALSE)," ")</f>
        <v xml:space="preserve"> </v>
      </c>
      <c r="I73" s="37" t="str">
        <f t="shared" si="20"/>
        <v xml:space="preserve"> </v>
      </c>
      <c r="J73" s="37" t="str">
        <f>IFERROR(VLOOKUP(F73,'Product Spec'!B:D,3,FALSE)," ")</f>
        <v xml:space="preserve"> </v>
      </c>
      <c r="K73" s="43" t="str">
        <f t="shared" si="21"/>
        <v xml:space="preserve"> </v>
      </c>
      <c r="P73" s="8">
        <f t="shared" si="22"/>
        <v>1</v>
      </c>
      <c r="Q73" s="8" t="e" cm="1">
        <f t="array" ref="Q73">_xlfn.IFS(D73=30,0.87,D73=45,0.7,D73=60,0.5)</f>
        <v>#N/A</v>
      </c>
      <c r="R73" s="8">
        <f t="shared" si="23"/>
        <v>0</v>
      </c>
    </row>
    <row r="74" spans="1:22" ht="15" customHeight="1" x14ac:dyDescent="0.25">
      <c r="A74" s="236"/>
      <c r="B74" s="20" t="s">
        <v>204</v>
      </c>
      <c r="C74" s="19"/>
      <c r="D74" s="17"/>
      <c r="E74" s="16"/>
      <c r="F74" s="18"/>
      <c r="G74" s="18"/>
      <c r="H74" s="37" t="str">
        <f>IFERROR(VLOOKUP(F74,'Product Spec'!B:D,2,FALSE)," ")</f>
        <v xml:space="preserve"> </v>
      </c>
      <c r="I74" s="37" t="str">
        <f t="shared" si="20"/>
        <v xml:space="preserve"> </v>
      </c>
      <c r="J74" s="37" t="str">
        <f>IFERROR(VLOOKUP(F74,'Product Spec'!B:D,3,FALSE)," ")</f>
        <v xml:space="preserve"> </v>
      </c>
      <c r="K74" s="43" t="str">
        <f t="shared" si="21"/>
        <v xml:space="preserve"> </v>
      </c>
      <c r="P74" s="8">
        <f t="shared" si="22"/>
        <v>1</v>
      </c>
      <c r="Q74" s="8" t="e" cm="1">
        <f t="array" ref="Q74">_xlfn.IFS(D74=30,0.87,D74=45,0.7,D74=60,0.5)</f>
        <v>#N/A</v>
      </c>
      <c r="R74" s="8">
        <f t="shared" si="23"/>
        <v>0</v>
      </c>
    </row>
    <row r="75" spans="1:22" ht="15" customHeight="1" x14ac:dyDescent="0.25">
      <c r="A75" s="236"/>
      <c r="B75" s="98" t="s">
        <v>170</v>
      </c>
      <c r="C75" s="99"/>
      <c r="D75" s="99"/>
      <c r="E75" s="99"/>
      <c r="F75" s="99"/>
      <c r="G75" s="100"/>
      <c r="H75" s="147" cm="1">
        <f t="array" ref="H75">IF(D8&lt;6,0,SUM(IFERROR(I69:I74,0)))</f>
        <v>0</v>
      </c>
      <c r="I75" s="148"/>
      <c r="J75" s="147" cm="1">
        <f t="array" ref="J75">IF(D8&lt;6,0,SUM(IFERROR(K69:K74,0)))</f>
        <v>0</v>
      </c>
      <c r="K75" s="149"/>
    </row>
    <row r="76" spans="1:22" ht="15" customHeight="1" x14ac:dyDescent="0.25">
      <c r="A76" s="44" t="s">
        <v>168</v>
      </c>
      <c r="B76" s="160"/>
      <c r="C76" s="161"/>
      <c r="D76" s="98" t="s">
        <v>166</v>
      </c>
      <c r="E76" s="99"/>
      <c r="F76" s="99"/>
      <c r="G76" s="100"/>
      <c r="H76" s="150" t="e">
        <f>MAX(100,(0.5*$D$3)/$D$8,V69)</f>
        <v>#VALUE!</v>
      </c>
      <c r="I76" s="151"/>
      <c r="J76" s="150" t="e">
        <f>MAX(100,(0.5*$I$3)/$D$8,V69)</f>
        <v>#VALUE!</v>
      </c>
      <c r="K76" s="152"/>
    </row>
    <row r="77" spans="1:22" customFormat="1" ht="15" customHeight="1" x14ac:dyDescent="0.25">
      <c r="A77" s="153" t="e">
        <f>IF(OR(S69&lt;1,S70&lt;1),"Warning: Doesn’t meet the minimum BU's requirement per line."," ")</f>
        <v>#VALUE!</v>
      </c>
      <c r="B77" s="154"/>
      <c r="C77" s="154"/>
      <c r="D77" s="154"/>
      <c r="E77" s="154"/>
      <c r="F77" s="154"/>
      <c r="G77" s="154"/>
      <c r="H77" s="154"/>
      <c r="I77" s="154"/>
      <c r="J77" s="154"/>
      <c r="K77" s="155"/>
    </row>
    <row r="78" spans="1:22" ht="15" customHeight="1" x14ac:dyDescent="0.25">
      <c r="A78" s="156"/>
      <c r="B78" s="157"/>
      <c r="C78" s="157"/>
      <c r="D78" s="157"/>
      <c r="E78" s="157"/>
      <c r="F78" s="157"/>
      <c r="G78" s="157"/>
      <c r="H78" s="157"/>
      <c r="I78" s="157"/>
      <c r="J78" s="157"/>
      <c r="K78" s="158"/>
      <c r="L78"/>
      <c r="M78"/>
      <c r="N78"/>
      <c r="O78"/>
      <c r="P78"/>
      <c r="Q78"/>
      <c r="R78"/>
      <c r="S78"/>
      <c r="T78"/>
      <c r="U78"/>
      <c r="V78"/>
    </row>
    <row r="79" spans="1:22" ht="15" customHeight="1" x14ac:dyDescent="0.25">
      <c r="A79" s="42" t="s">
        <v>83</v>
      </c>
      <c r="B79" s="33" t="s">
        <v>198</v>
      </c>
      <c r="C79" s="34" t="s">
        <v>86</v>
      </c>
      <c r="D79" s="33" t="s">
        <v>87</v>
      </c>
      <c r="E79" s="33" t="s">
        <v>111</v>
      </c>
      <c r="F79" s="33" t="s">
        <v>84</v>
      </c>
      <c r="G79" s="33" t="s">
        <v>85</v>
      </c>
      <c r="H79" s="24" t="s">
        <v>165</v>
      </c>
      <c r="I79" s="24" t="s">
        <v>169</v>
      </c>
      <c r="J79" s="24" t="s">
        <v>165</v>
      </c>
      <c r="K79" s="41" t="s">
        <v>169</v>
      </c>
      <c r="V79" s="8" t="s">
        <v>164</v>
      </c>
    </row>
    <row r="80" spans="1:22" ht="15" customHeight="1" x14ac:dyDescent="0.25">
      <c r="A80" s="236" t="s">
        <v>113</v>
      </c>
      <c r="B80" s="20" t="s">
        <v>199</v>
      </c>
      <c r="C80" s="19"/>
      <c r="D80" s="17"/>
      <c r="E80" s="16"/>
      <c r="F80" s="18"/>
      <c r="G80" s="18"/>
      <c r="H80" s="37" t="str">
        <f>IFERROR(VLOOKUP(F80,'Product Spec'!B:D,2,FALSE)," ")</f>
        <v xml:space="preserve"> </v>
      </c>
      <c r="I80" s="37" t="str">
        <f>IFERROR(C80*H80*P80*MIN(1,2.4/E80)," ")</f>
        <v xml:space="preserve"> </v>
      </c>
      <c r="J80" s="37" t="str">
        <f>IFERROR(VLOOKUP(F80,'Product Spec'!B:D,3,FALSE)," ")</f>
        <v xml:space="preserve"> </v>
      </c>
      <c r="K80" s="43" t="str">
        <f>IFERROR(C80*J80*P80*MIN(1,2.4/E80)," ")</f>
        <v xml:space="preserve"> </v>
      </c>
      <c r="P80" s="8">
        <f>IF(OR(D80=30,D80=45,D80=60),Q80,COS(R80))</f>
        <v>1</v>
      </c>
      <c r="Q80" s="8" t="e" cm="1">
        <f t="array" ref="Q80">_xlfn.IFS(D80=30,0.87,D80=45,0.7,D80=60,0.5)</f>
        <v>#N/A</v>
      </c>
      <c r="R80" s="8">
        <f>(PI()/180)*D80</f>
        <v>0</v>
      </c>
      <c r="S80" s="8" t="e">
        <f>H86/H87</f>
        <v>#VALUE!</v>
      </c>
      <c r="V80" s="8">
        <f xml:space="preserve"> C87*15</f>
        <v>0</v>
      </c>
    </row>
    <row r="81" spans="1:22" ht="15" customHeight="1" x14ac:dyDescent="0.25">
      <c r="A81" s="236"/>
      <c r="B81" s="20" t="s">
        <v>200</v>
      </c>
      <c r="C81" s="19"/>
      <c r="D81" s="17"/>
      <c r="E81" s="16"/>
      <c r="F81" s="18"/>
      <c r="G81" s="18"/>
      <c r="H81" s="37" t="str">
        <f>IFERROR(VLOOKUP(F81,'Product Spec'!B:D,2,FALSE)," ")</f>
        <v xml:space="preserve"> </v>
      </c>
      <c r="I81" s="37" t="str">
        <f t="shared" ref="I81:I85" si="24">IFERROR(C81*H81*P81*MIN(1,2.4/E81)," ")</f>
        <v xml:space="preserve"> </v>
      </c>
      <c r="J81" s="37" t="str">
        <f>IFERROR(VLOOKUP(F81,'Product Spec'!B:D,3,FALSE)," ")</f>
        <v xml:space="preserve"> </v>
      </c>
      <c r="K81" s="43" t="str">
        <f t="shared" ref="K81:K85" si="25">IFERROR(C81*J81*P81*MIN(1,2.4/E81)," ")</f>
        <v xml:space="preserve"> </v>
      </c>
      <c r="P81" s="8">
        <f t="shared" ref="P81:P85" si="26">IF(OR(D81=30,D81=45,D81=60),Q81,COS(R81))</f>
        <v>1</v>
      </c>
      <c r="Q81" s="8" t="e" cm="1">
        <f t="array" ref="Q81">_xlfn.IFS(D81=30,0.87,D81=45,0.7,D81=60,0.5)</f>
        <v>#N/A</v>
      </c>
      <c r="R81" s="8">
        <f t="shared" ref="R81:R85" si="27">(PI()/180)*D81</f>
        <v>0</v>
      </c>
      <c r="S81" s="8" t="e">
        <f>J86/J87</f>
        <v>#VALUE!</v>
      </c>
    </row>
    <row r="82" spans="1:22" ht="15" customHeight="1" x14ac:dyDescent="0.25">
      <c r="A82" s="236"/>
      <c r="B82" s="20" t="s">
        <v>201</v>
      </c>
      <c r="C82" s="19"/>
      <c r="D82" s="17"/>
      <c r="E82" s="16"/>
      <c r="F82" s="18"/>
      <c r="G82" s="18"/>
      <c r="H82" s="37" t="str">
        <f>IFERROR(VLOOKUP(F82,'Product Spec'!B:D,2,FALSE)," ")</f>
        <v xml:space="preserve"> </v>
      </c>
      <c r="I82" s="37" t="str">
        <f t="shared" si="24"/>
        <v xml:space="preserve"> </v>
      </c>
      <c r="J82" s="37" t="str">
        <f>IFERROR(VLOOKUP(F82,'Product Spec'!B:D,3,FALSE)," ")</f>
        <v xml:space="preserve"> </v>
      </c>
      <c r="K82" s="43" t="str">
        <f t="shared" si="25"/>
        <v xml:space="preserve"> </v>
      </c>
      <c r="P82" s="8">
        <f t="shared" si="26"/>
        <v>1</v>
      </c>
      <c r="Q82" s="8" t="e" cm="1">
        <f t="array" ref="Q82">_xlfn.IFS(D82=30,0.87,D82=45,0.7,D82=60,0.5)</f>
        <v>#N/A</v>
      </c>
      <c r="R82" s="8">
        <f t="shared" si="27"/>
        <v>0</v>
      </c>
    </row>
    <row r="83" spans="1:22" ht="15" customHeight="1" x14ac:dyDescent="0.25">
      <c r="A83" s="236"/>
      <c r="B83" s="20" t="s">
        <v>202</v>
      </c>
      <c r="C83" s="19"/>
      <c r="D83" s="17"/>
      <c r="E83" s="16"/>
      <c r="F83" s="18"/>
      <c r="G83" s="18"/>
      <c r="H83" s="37" t="str">
        <f>IFERROR(VLOOKUP(F83,'Product Spec'!B:D,2,FALSE)," ")</f>
        <v xml:space="preserve"> </v>
      </c>
      <c r="I83" s="37" t="str">
        <f t="shared" si="24"/>
        <v xml:space="preserve"> </v>
      </c>
      <c r="J83" s="37" t="str">
        <f>IFERROR(VLOOKUP(F83,'Product Spec'!B:D,3,FALSE)," ")</f>
        <v xml:space="preserve"> </v>
      </c>
      <c r="K83" s="43" t="str">
        <f t="shared" si="25"/>
        <v xml:space="preserve"> </v>
      </c>
      <c r="P83" s="8">
        <f t="shared" si="26"/>
        <v>1</v>
      </c>
      <c r="Q83" s="8" t="e" cm="1">
        <f t="array" ref="Q83">_xlfn.IFS(D83=30,0.87,D83=45,0.7,D83=60,0.5)</f>
        <v>#N/A</v>
      </c>
      <c r="R83" s="8">
        <f t="shared" si="27"/>
        <v>0</v>
      </c>
    </row>
    <row r="84" spans="1:22" ht="15" customHeight="1" x14ac:dyDescent="0.25">
      <c r="A84" s="236"/>
      <c r="B84" s="20" t="s">
        <v>203</v>
      </c>
      <c r="C84" s="19"/>
      <c r="D84" s="17"/>
      <c r="E84" s="16"/>
      <c r="F84" s="18"/>
      <c r="G84" s="18"/>
      <c r="H84" s="37" t="str">
        <f>IFERROR(VLOOKUP(F84,'Product Spec'!B:D,2,FALSE)," ")</f>
        <v xml:space="preserve"> </v>
      </c>
      <c r="I84" s="37" t="str">
        <f t="shared" si="24"/>
        <v xml:space="preserve"> </v>
      </c>
      <c r="J84" s="37" t="str">
        <f>IFERROR(VLOOKUP(F84,'Product Spec'!B:D,3,FALSE)," ")</f>
        <v xml:space="preserve"> </v>
      </c>
      <c r="K84" s="43" t="str">
        <f t="shared" si="25"/>
        <v xml:space="preserve"> </v>
      </c>
      <c r="P84" s="8">
        <f t="shared" si="26"/>
        <v>1</v>
      </c>
      <c r="Q84" s="8" t="e" cm="1">
        <f t="array" ref="Q84">_xlfn.IFS(D84=30,0.87,D84=45,0.7,D84=60,0.5)</f>
        <v>#N/A</v>
      </c>
      <c r="R84" s="8">
        <f t="shared" si="27"/>
        <v>0</v>
      </c>
    </row>
    <row r="85" spans="1:22" ht="15" customHeight="1" x14ac:dyDescent="0.25">
      <c r="A85" s="236"/>
      <c r="B85" s="20" t="s">
        <v>204</v>
      </c>
      <c r="C85" s="19"/>
      <c r="D85" s="17"/>
      <c r="E85" s="16"/>
      <c r="F85" s="18"/>
      <c r="G85" s="18"/>
      <c r="H85" s="37" t="str">
        <f>IFERROR(VLOOKUP(F85,'Product Spec'!B:D,2,FALSE)," ")</f>
        <v xml:space="preserve"> </v>
      </c>
      <c r="I85" s="37" t="str">
        <f t="shared" si="24"/>
        <v xml:space="preserve"> </v>
      </c>
      <c r="J85" s="37" t="str">
        <f>IFERROR(VLOOKUP(F85,'Product Spec'!B:D,3,FALSE)," ")</f>
        <v xml:space="preserve"> </v>
      </c>
      <c r="K85" s="43" t="str">
        <f t="shared" si="25"/>
        <v xml:space="preserve"> </v>
      </c>
      <c r="P85" s="8">
        <f t="shared" si="26"/>
        <v>1</v>
      </c>
      <c r="Q85" s="8" t="e" cm="1">
        <f t="array" ref="Q85">_xlfn.IFS(D85=30,0.87,D85=45,0.7,D85=60,0.5)</f>
        <v>#N/A</v>
      </c>
      <c r="R85" s="8">
        <f t="shared" si="27"/>
        <v>0</v>
      </c>
    </row>
    <row r="86" spans="1:22" ht="15" customHeight="1" x14ac:dyDescent="0.25">
      <c r="A86" s="236"/>
      <c r="B86" s="98" t="s">
        <v>170</v>
      </c>
      <c r="C86" s="99"/>
      <c r="D86" s="99"/>
      <c r="E86" s="99"/>
      <c r="F86" s="99"/>
      <c r="G86" s="100"/>
      <c r="H86" s="147" cm="1">
        <f t="array" ref="H86">IF(D8&lt;7,0,SUM(IFERROR(I80:I85,0)))</f>
        <v>0</v>
      </c>
      <c r="I86" s="148"/>
      <c r="J86" s="147" cm="1">
        <f t="array" ref="J86">IF(D8&lt;7,0,SUM(IFERROR(K80:K85,0)))</f>
        <v>0</v>
      </c>
      <c r="K86" s="149"/>
    </row>
    <row r="87" spans="1:22" ht="15" customHeight="1" x14ac:dyDescent="0.25">
      <c r="A87" s="44" t="s">
        <v>168</v>
      </c>
      <c r="B87" s="160"/>
      <c r="C87" s="161"/>
      <c r="D87" s="99" t="s">
        <v>166</v>
      </c>
      <c r="E87" s="99"/>
      <c r="F87" s="99"/>
      <c r="G87" s="100"/>
      <c r="H87" s="150" t="e">
        <f>MAX(100,(0.5*$D$3)/$D$8,V80)</f>
        <v>#VALUE!</v>
      </c>
      <c r="I87" s="151"/>
      <c r="J87" s="150" t="e">
        <f>MAX(100,(0.5*$I$3)/$D$8,V80)</f>
        <v>#VALUE!</v>
      </c>
      <c r="K87" s="152"/>
    </row>
    <row r="88" spans="1:22" customFormat="1" ht="15" customHeight="1" x14ac:dyDescent="0.25">
      <c r="A88" s="153" t="e">
        <f>IF(OR(S80&lt;1,S81&lt;1),"Warning: Doesn’t meet the minimum BU's requirement per line."," ")</f>
        <v>#VALUE!</v>
      </c>
      <c r="B88" s="154"/>
      <c r="C88" s="154"/>
      <c r="D88" s="154"/>
      <c r="E88" s="154"/>
      <c r="F88" s="154"/>
      <c r="G88" s="154"/>
      <c r="H88" s="154"/>
      <c r="I88" s="154"/>
      <c r="J88" s="154"/>
      <c r="K88" s="155"/>
    </row>
    <row r="89" spans="1:22" ht="15" customHeight="1" x14ac:dyDescent="0.25">
      <c r="A89" s="156"/>
      <c r="B89" s="157"/>
      <c r="C89" s="157"/>
      <c r="D89" s="157"/>
      <c r="E89" s="157"/>
      <c r="F89" s="157"/>
      <c r="G89" s="157"/>
      <c r="H89" s="157"/>
      <c r="I89" s="157"/>
      <c r="J89" s="157"/>
      <c r="K89" s="158"/>
      <c r="L89"/>
      <c r="M89"/>
      <c r="N89"/>
      <c r="O89"/>
      <c r="P89"/>
      <c r="Q89"/>
      <c r="R89"/>
      <c r="S89"/>
      <c r="T89"/>
      <c r="U89"/>
      <c r="V89"/>
    </row>
    <row r="90" spans="1:22" ht="15" customHeight="1" x14ac:dyDescent="0.25">
      <c r="A90" s="42" t="s">
        <v>83</v>
      </c>
      <c r="B90" s="33" t="s">
        <v>198</v>
      </c>
      <c r="C90" s="34" t="s">
        <v>86</v>
      </c>
      <c r="D90" s="33" t="s">
        <v>87</v>
      </c>
      <c r="E90" s="33" t="s">
        <v>111</v>
      </c>
      <c r="F90" s="33" t="s">
        <v>84</v>
      </c>
      <c r="G90" s="33" t="s">
        <v>85</v>
      </c>
      <c r="H90" s="24" t="s">
        <v>165</v>
      </c>
      <c r="I90" s="24" t="s">
        <v>169</v>
      </c>
      <c r="J90" s="24" t="s">
        <v>165</v>
      </c>
      <c r="K90" s="41" t="s">
        <v>169</v>
      </c>
      <c r="V90" s="8" t="s">
        <v>164</v>
      </c>
    </row>
    <row r="91" spans="1:22" ht="15" customHeight="1" x14ac:dyDescent="0.25">
      <c r="A91" s="236" t="s">
        <v>114</v>
      </c>
      <c r="B91" s="20" t="s">
        <v>199</v>
      </c>
      <c r="C91" s="19"/>
      <c r="D91" s="17"/>
      <c r="E91" s="16"/>
      <c r="F91" s="18"/>
      <c r="G91" s="18"/>
      <c r="H91" s="37" t="str">
        <f>IFERROR(VLOOKUP(F91,'Product Spec'!B:D,2,FALSE)," ")</f>
        <v xml:space="preserve"> </v>
      </c>
      <c r="I91" s="37" t="str">
        <f>IFERROR(C91*H91*P91*MIN(1,2.4/E91)," ")</f>
        <v xml:space="preserve"> </v>
      </c>
      <c r="J91" s="37" t="str">
        <f>IFERROR(VLOOKUP(F91,'Product Spec'!B:D,3,FALSE)," ")</f>
        <v xml:space="preserve"> </v>
      </c>
      <c r="K91" s="43" t="str">
        <f>IFERROR(C91*J91*P91*MIN(1,2.4/E91)," ")</f>
        <v xml:space="preserve"> </v>
      </c>
      <c r="P91" s="8">
        <f>IF(OR(D91=30,D91=45,D91=60),Q91,COS(R91))</f>
        <v>1</v>
      </c>
      <c r="Q91" s="8" t="e" cm="1">
        <f t="array" ref="Q91">_xlfn.IFS(D91=30,0.87,D91=45,0.7,D91=60,0.5)</f>
        <v>#N/A</v>
      </c>
      <c r="R91" s="8">
        <f>(PI()/180)*D91</f>
        <v>0</v>
      </c>
      <c r="S91" s="8" t="e">
        <f>H97/H98</f>
        <v>#VALUE!</v>
      </c>
      <c r="V91" s="8">
        <f xml:space="preserve"> C98*15</f>
        <v>0</v>
      </c>
    </row>
    <row r="92" spans="1:22" ht="15" customHeight="1" x14ac:dyDescent="0.25">
      <c r="A92" s="236"/>
      <c r="B92" s="20" t="s">
        <v>200</v>
      </c>
      <c r="C92" s="19"/>
      <c r="D92" s="17"/>
      <c r="E92" s="16"/>
      <c r="F92" s="18"/>
      <c r="G92" s="18"/>
      <c r="H92" s="37" t="str">
        <f>IFERROR(VLOOKUP(F92,'Product Spec'!B:D,2,FALSE)," ")</f>
        <v xml:space="preserve"> </v>
      </c>
      <c r="I92" s="37" t="str">
        <f t="shared" ref="I92:I96" si="28">IFERROR(C92*H92*P92*MIN(1,2.4/E92)," ")</f>
        <v xml:space="preserve"> </v>
      </c>
      <c r="J92" s="37" t="str">
        <f>IFERROR(VLOOKUP(F92,'Product Spec'!B:D,3,FALSE)," ")</f>
        <v xml:space="preserve"> </v>
      </c>
      <c r="K92" s="43" t="str">
        <f t="shared" ref="K92:K96" si="29">IFERROR(C92*J92*P92*MIN(1,2.4/E92)," ")</f>
        <v xml:space="preserve"> </v>
      </c>
      <c r="P92" s="8">
        <f t="shared" ref="P92:P96" si="30">IF(OR(D92=30,D92=45,D92=60),Q92,COS(R92))</f>
        <v>1</v>
      </c>
      <c r="Q92" s="8" t="e" cm="1">
        <f t="array" ref="Q92">_xlfn.IFS(D92=30,0.87,D92=45,0.7,D92=60,0.5)</f>
        <v>#N/A</v>
      </c>
      <c r="R92" s="8">
        <f t="shared" ref="R92:R96" si="31">(PI()/180)*D92</f>
        <v>0</v>
      </c>
      <c r="S92" s="8" t="e">
        <f>J97/J98</f>
        <v>#VALUE!</v>
      </c>
    </row>
    <row r="93" spans="1:22" ht="15" customHeight="1" x14ac:dyDescent="0.25">
      <c r="A93" s="236"/>
      <c r="B93" s="20" t="s">
        <v>201</v>
      </c>
      <c r="C93" s="19"/>
      <c r="D93" s="17"/>
      <c r="E93" s="16"/>
      <c r="F93" s="18"/>
      <c r="G93" s="18"/>
      <c r="H93" s="37" t="str">
        <f>IFERROR(VLOOKUP(F93,'Product Spec'!B:D,2,FALSE)," ")</f>
        <v xml:space="preserve"> </v>
      </c>
      <c r="I93" s="37" t="str">
        <f t="shared" si="28"/>
        <v xml:space="preserve"> </v>
      </c>
      <c r="J93" s="37" t="str">
        <f>IFERROR(VLOOKUP(F93,'Product Spec'!B:D,3,FALSE)," ")</f>
        <v xml:space="preserve"> </v>
      </c>
      <c r="K93" s="43" t="str">
        <f t="shared" si="29"/>
        <v xml:space="preserve"> </v>
      </c>
      <c r="P93" s="8">
        <f t="shared" si="30"/>
        <v>1</v>
      </c>
      <c r="Q93" s="8" t="e" cm="1">
        <f t="array" ref="Q93">_xlfn.IFS(D93=30,0.87,D93=45,0.7,D93=60,0.5)</f>
        <v>#N/A</v>
      </c>
      <c r="R93" s="8">
        <f t="shared" si="31"/>
        <v>0</v>
      </c>
    </row>
    <row r="94" spans="1:22" ht="15" customHeight="1" x14ac:dyDescent="0.25">
      <c r="A94" s="236"/>
      <c r="B94" s="20" t="s">
        <v>202</v>
      </c>
      <c r="C94" s="19"/>
      <c r="D94" s="17"/>
      <c r="E94" s="16"/>
      <c r="F94" s="18"/>
      <c r="G94" s="18"/>
      <c r="H94" s="37" t="str">
        <f>IFERROR(VLOOKUP(F94,'Product Spec'!B:D,2,FALSE)," ")</f>
        <v xml:space="preserve"> </v>
      </c>
      <c r="I94" s="37" t="str">
        <f t="shared" si="28"/>
        <v xml:space="preserve"> </v>
      </c>
      <c r="J94" s="37" t="str">
        <f>IFERROR(VLOOKUP(F94,'Product Spec'!B:D,3,FALSE)," ")</f>
        <v xml:space="preserve"> </v>
      </c>
      <c r="K94" s="43" t="str">
        <f t="shared" si="29"/>
        <v xml:space="preserve"> </v>
      </c>
      <c r="P94" s="8">
        <f t="shared" si="30"/>
        <v>1</v>
      </c>
      <c r="Q94" s="8" t="e" cm="1">
        <f t="array" ref="Q94">_xlfn.IFS(D94=30,0.87,D94=45,0.7,D94=60,0.5)</f>
        <v>#N/A</v>
      </c>
      <c r="R94" s="8">
        <f t="shared" si="31"/>
        <v>0</v>
      </c>
    </row>
    <row r="95" spans="1:22" ht="15" customHeight="1" x14ac:dyDescent="0.25">
      <c r="A95" s="236"/>
      <c r="B95" s="20" t="s">
        <v>203</v>
      </c>
      <c r="C95" s="19"/>
      <c r="D95" s="17"/>
      <c r="E95" s="16"/>
      <c r="F95" s="18"/>
      <c r="G95" s="18"/>
      <c r="H95" s="37" t="str">
        <f>IFERROR(VLOOKUP(F95,'Product Spec'!B:D,2,FALSE)," ")</f>
        <v xml:space="preserve"> </v>
      </c>
      <c r="I95" s="37" t="str">
        <f t="shared" si="28"/>
        <v xml:space="preserve"> </v>
      </c>
      <c r="J95" s="37" t="str">
        <f>IFERROR(VLOOKUP(F95,'Product Spec'!B:D,3,FALSE)," ")</f>
        <v xml:space="preserve"> </v>
      </c>
      <c r="K95" s="43" t="str">
        <f t="shared" si="29"/>
        <v xml:space="preserve"> </v>
      </c>
      <c r="P95" s="8">
        <f t="shared" si="30"/>
        <v>1</v>
      </c>
      <c r="Q95" s="8" t="e" cm="1">
        <f t="array" ref="Q95">_xlfn.IFS(D95=30,0.87,D95=45,0.7,D95=60,0.5)</f>
        <v>#N/A</v>
      </c>
      <c r="R95" s="8">
        <f t="shared" si="31"/>
        <v>0</v>
      </c>
    </row>
    <row r="96" spans="1:22" ht="15" customHeight="1" x14ac:dyDescent="0.25">
      <c r="A96" s="236"/>
      <c r="B96" s="20" t="s">
        <v>204</v>
      </c>
      <c r="C96" s="19"/>
      <c r="D96" s="17"/>
      <c r="E96" s="16"/>
      <c r="F96" s="18"/>
      <c r="G96" s="18"/>
      <c r="H96" s="37" t="str">
        <f>IFERROR(VLOOKUP(F96,'Product Spec'!B:D,2,FALSE)," ")</f>
        <v xml:space="preserve"> </v>
      </c>
      <c r="I96" s="37" t="str">
        <f t="shared" si="28"/>
        <v xml:space="preserve"> </v>
      </c>
      <c r="J96" s="37" t="str">
        <f>IFERROR(VLOOKUP(F96,'Product Spec'!B:D,3,FALSE)," ")</f>
        <v xml:space="preserve"> </v>
      </c>
      <c r="K96" s="43" t="str">
        <f t="shared" si="29"/>
        <v xml:space="preserve"> </v>
      </c>
      <c r="P96" s="8">
        <f t="shared" si="30"/>
        <v>1</v>
      </c>
      <c r="Q96" s="8" t="e" cm="1">
        <f t="array" ref="Q96">_xlfn.IFS(D96=30,0.87,D96=45,0.7,D96=60,0.5)</f>
        <v>#N/A</v>
      </c>
      <c r="R96" s="8">
        <f t="shared" si="31"/>
        <v>0</v>
      </c>
    </row>
    <row r="97" spans="1:22" ht="15" customHeight="1" x14ac:dyDescent="0.25">
      <c r="A97" s="236"/>
      <c r="B97" s="98" t="s">
        <v>170</v>
      </c>
      <c r="C97" s="99"/>
      <c r="D97" s="99"/>
      <c r="E97" s="99"/>
      <c r="F97" s="99"/>
      <c r="G97" s="100"/>
      <c r="H97" s="147" cm="1">
        <f t="array" ref="H97">IF(D8&lt;8,0,SUM(IFERROR(I91:I96,0)))</f>
        <v>0</v>
      </c>
      <c r="I97" s="148"/>
      <c r="J97" s="147" cm="1">
        <f t="array" ref="J97">IF(D8&lt;8,0,SUM(IFERROR(K91:K96,0)))</f>
        <v>0</v>
      </c>
      <c r="K97" s="149"/>
    </row>
    <row r="98" spans="1:22" ht="15" customHeight="1" x14ac:dyDescent="0.25">
      <c r="A98" s="44" t="s">
        <v>168</v>
      </c>
      <c r="B98" s="160"/>
      <c r="C98" s="161"/>
      <c r="D98" s="99" t="s">
        <v>166</v>
      </c>
      <c r="E98" s="99"/>
      <c r="F98" s="99"/>
      <c r="G98" s="100"/>
      <c r="H98" s="150" t="e">
        <f>MAX(100,(0.5*$D$3)/$D$8,V91)</f>
        <v>#VALUE!</v>
      </c>
      <c r="I98" s="151"/>
      <c r="J98" s="150" t="e">
        <f>MAX(100,(0.5*$I$3)/$D$8,V91)</f>
        <v>#VALUE!</v>
      </c>
      <c r="K98" s="152"/>
    </row>
    <row r="99" spans="1:22" customFormat="1" ht="15" customHeight="1" x14ac:dyDescent="0.25">
      <c r="A99" s="153" t="e">
        <f>IF(OR(S91&lt;1,S92&lt;1),"Warning: Doesn’t meet the minimum BU's requirement per line."," ")</f>
        <v>#VALUE!</v>
      </c>
      <c r="B99" s="154"/>
      <c r="C99" s="154"/>
      <c r="D99" s="154"/>
      <c r="E99" s="154"/>
      <c r="F99" s="154"/>
      <c r="G99" s="154"/>
      <c r="H99" s="154"/>
      <c r="I99" s="154"/>
      <c r="J99" s="154"/>
      <c r="K99" s="155"/>
    </row>
    <row r="100" spans="1:22" ht="15" customHeight="1" x14ac:dyDescent="0.25">
      <c r="A100" s="156"/>
      <c r="B100" s="157"/>
      <c r="C100" s="157"/>
      <c r="D100" s="157"/>
      <c r="E100" s="157"/>
      <c r="F100" s="157"/>
      <c r="G100" s="157"/>
      <c r="H100" s="157"/>
      <c r="I100" s="157"/>
      <c r="J100" s="157"/>
      <c r="K100" s="158"/>
      <c r="L100"/>
      <c r="M100"/>
      <c r="N100"/>
      <c r="O100"/>
      <c r="P100"/>
      <c r="Q100"/>
      <c r="R100"/>
      <c r="S100"/>
      <c r="T100"/>
      <c r="U100"/>
      <c r="V100"/>
    </row>
    <row r="101" spans="1:22" ht="15" customHeight="1" x14ac:dyDescent="0.25">
      <c r="A101" s="42" t="s">
        <v>83</v>
      </c>
      <c r="B101" s="33" t="s">
        <v>198</v>
      </c>
      <c r="C101" s="34" t="s">
        <v>86</v>
      </c>
      <c r="D101" s="33" t="s">
        <v>87</v>
      </c>
      <c r="E101" s="33" t="s">
        <v>111</v>
      </c>
      <c r="F101" s="33" t="s">
        <v>84</v>
      </c>
      <c r="G101" s="33" t="s">
        <v>85</v>
      </c>
      <c r="H101" s="24" t="s">
        <v>165</v>
      </c>
      <c r="I101" s="24" t="s">
        <v>169</v>
      </c>
      <c r="J101" s="24" t="s">
        <v>165</v>
      </c>
      <c r="K101" s="41" t="s">
        <v>169</v>
      </c>
      <c r="V101" s="8" t="s">
        <v>164</v>
      </c>
    </row>
    <row r="102" spans="1:22" ht="15" customHeight="1" x14ac:dyDescent="0.25">
      <c r="A102" s="236" t="s">
        <v>116</v>
      </c>
      <c r="B102" s="20" t="s">
        <v>199</v>
      </c>
      <c r="C102" s="19"/>
      <c r="D102" s="17"/>
      <c r="E102" s="16"/>
      <c r="F102" s="18"/>
      <c r="G102" s="18"/>
      <c r="H102" s="37" t="str">
        <f>IFERROR(VLOOKUP(F102,'Product Spec'!B:D,2,FALSE)," ")</f>
        <v xml:space="preserve"> </v>
      </c>
      <c r="I102" s="37" t="str">
        <f>IFERROR(C102*H102*P102*MIN(1,2.4/E102)," ")</f>
        <v xml:space="preserve"> </v>
      </c>
      <c r="J102" s="37" t="str">
        <f>IFERROR(VLOOKUP(F102,'Product Spec'!B:D,3,FALSE)," ")</f>
        <v xml:space="preserve"> </v>
      </c>
      <c r="K102" s="43" t="str">
        <f>IFERROR(C102*J102*P102*MIN(1,2.4/E102)," ")</f>
        <v xml:space="preserve"> </v>
      </c>
      <c r="P102" s="8">
        <f>IF(OR(D102=30,D102=45,D102=60),Q102,COS(R102))</f>
        <v>1</v>
      </c>
      <c r="Q102" s="8" t="e" cm="1">
        <f t="array" ref="Q102">_xlfn.IFS(D102=30,0.87,D102=45,0.7,D102=60,0.5)</f>
        <v>#N/A</v>
      </c>
      <c r="R102" s="8">
        <f>(PI()/180)*D102</f>
        <v>0</v>
      </c>
      <c r="S102" s="8" t="e">
        <f>H108/H109</f>
        <v>#VALUE!</v>
      </c>
      <c r="V102" s="8">
        <f xml:space="preserve"> C109*15</f>
        <v>0</v>
      </c>
    </row>
    <row r="103" spans="1:22" ht="15" customHeight="1" x14ac:dyDescent="0.25">
      <c r="A103" s="236"/>
      <c r="B103" s="20" t="s">
        <v>200</v>
      </c>
      <c r="C103" s="19"/>
      <c r="D103" s="17"/>
      <c r="E103" s="16"/>
      <c r="F103" s="18"/>
      <c r="G103" s="18"/>
      <c r="H103" s="37" t="str">
        <f>IFERROR(VLOOKUP(F103,'Product Spec'!B:D,2,FALSE)," ")</f>
        <v xml:space="preserve"> </v>
      </c>
      <c r="I103" s="37" t="str">
        <f t="shared" ref="I103:I107" si="32">IFERROR(C103*H103*P103*MIN(1,2.4/E103)," ")</f>
        <v xml:space="preserve"> </v>
      </c>
      <c r="J103" s="37" t="str">
        <f>IFERROR(VLOOKUP(F103,'Product Spec'!B:D,3,FALSE)," ")</f>
        <v xml:space="preserve"> </v>
      </c>
      <c r="K103" s="43" t="str">
        <f t="shared" ref="K103:K107" si="33">IFERROR(C103*J103*P103*MIN(1,2.4/E103)," ")</f>
        <v xml:space="preserve"> </v>
      </c>
      <c r="P103" s="8">
        <f t="shared" ref="P103:P107" si="34">IF(OR(D103=30,D103=45,D103=60),Q103,COS(R103))</f>
        <v>1</v>
      </c>
      <c r="Q103" s="8" t="e" cm="1">
        <f t="array" ref="Q103">_xlfn.IFS(D103=30,0.87,D103=45,0.7,D103=60,0.5)</f>
        <v>#N/A</v>
      </c>
      <c r="R103" s="8">
        <f t="shared" ref="R103:R107" si="35">(PI()/180)*D103</f>
        <v>0</v>
      </c>
      <c r="S103" s="8" t="e">
        <f>J108/J109</f>
        <v>#VALUE!</v>
      </c>
    </row>
    <row r="104" spans="1:22" ht="15" customHeight="1" x14ac:dyDescent="0.25">
      <c r="A104" s="236"/>
      <c r="B104" s="20" t="s">
        <v>201</v>
      </c>
      <c r="C104" s="19"/>
      <c r="D104" s="17"/>
      <c r="E104" s="16"/>
      <c r="F104" s="18"/>
      <c r="G104" s="18"/>
      <c r="H104" s="37" t="str">
        <f>IFERROR(VLOOKUP(F104,'Product Spec'!B:D,2,FALSE)," ")</f>
        <v xml:space="preserve"> </v>
      </c>
      <c r="I104" s="37" t="str">
        <f t="shared" si="32"/>
        <v xml:space="preserve"> </v>
      </c>
      <c r="J104" s="37" t="str">
        <f>IFERROR(VLOOKUP(F104,'Product Spec'!B:D,3,FALSE)," ")</f>
        <v xml:space="preserve"> </v>
      </c>
      <c r="K104" s="43" t="str">
        <f t="shared" si="33"/>
        <v xml:space="preserve"> </v>
      </c>
      <c r="P104" s="8">
        <f t="shared" si="34"/>
        <v>1</v>
      </c>
      <c r="Q104" s="8" t="e" cm="1">
        <f t="array" ref="Q104">_xlfn.IFS(D104=30,0.87,D104=45,0.7,D104=60,0.5)</f>
        <v>#N/A</v>
      </c>
      <c r="R104" s="8">
        <f t="shared" si="35"/>
        <v>0</v>
      </c>
    </row>
    <row r="105" spans="1:22" ht="15" customHeight="1" x14ac:dyDescent="0.25">
      <c r="A105" s="236"/>
      <c r="B105" s="20" t="s">
        <v>202</v>
      </c>
      <c r="C105" s="19"/>
      <c r="D105" s="17"/>
      <c r="E105" s="16"/>
      <c r="F105" s="18"/>
      <c r="G105" s="18"/>
      <c r="H105" s="37" t="str">
        <f>IFERROR(VLOOKUP(F105,'Product Spec'!B:D,2,FALSE)," ")</f>
        <v xml:space="preserve"> </v>
      </c>
      <c r="I105" s="37" t="str">
        <f t="shared" si="32"/>
        <v xml:space="preserve"> </v>
      </c>
      <c r="J105" s="37" t="str">
        <f>IFERROR(VLOOKUP(F105,'Product Spec'!B:D,3,FALSE)," ")</f>
        <v xml:space="preserve"> </v>
      </c>
      <c r="K105" s="43" t="str">
        <f t="shared" si="33"/>
        <v xml:space="preserve"> </v>
      </c>
      <c r="P105" s="8">
        <f t="shared" si="34"/>
        <v>1</v>
      </c>
      <c r="Q105" s="8" t="e" cm="1">
        <f t="array" ref="Q105">_xlfn.IFS(D105=30,0.87,D105=45,0.7,D105=60,0.5)</f>
        <v>#N/A</v>
      </c>
      <c r="R105" s="8">
        <f t="shared" si="35"/>
        <v>0</v>
      </c>
    </row>
    <row r="106" spans="1:22" ht="15" customHeight="1" x14ac:dyDescent="0.25">
      <c r="A106" s="236"/>
      <c r="B106" s="20" t="s">
        <v>203</v>
      </c>
      <c r="C106" s="19"/>
      <c r="D106" s="17"/>
      <c r="E106" s="16"/>
      <c r="F106" s="18"/>
      <c r="G106" s="18"/>
      <c r="H106" s="37" t="str">
        <f>IFERROR(VLOOKUP(F106,'Product Spec'!B:D,2,FALSE)," ")</f>
        <v xml:space="preserve"> </v>
      </c>
      <c r="I106" s="37" t="str">
        <f t="shared" si="32"/>
        <v xml:space="preserve"> </v>
      </c>
      <c r="J106" s="37" t="str">
        <f>IFERROR(VLOOKUP(F106,'Product Spec'!B:D,3,FALSE)," ")</f>
        <v xml:space="preserve"> </v>
      </c>
      <c r="K106" s="43" t="str">
        <f t="shared" si="33"/>
        <v xml:space="preserve"> </v>
      </c>
      <c r="P106" s="8">
        <f t="shared" si="34"/>
        <v>1</v>
      </c>
      <c r="Q106" s="8" t="e" cm="1">
        <f t="array" ref="Q106">_xlfn.IFS(D106=30,0.87,D106=45,0.7,D106=60,0.5)</f>
        <v>#N/A</v>
      </c>
      <c r="R106" s="8">
        <f t="shared" si="35"/>
        <v>0</v>
      </c>
    </row>
    <row r="107" spans="1:22" ht="15" customHeight="1" x14ac:dyDescent="0.25">
      <c r="A107" s="236"/>
      <c r="B107" s="20" t="s">
        <v>204</v>
      </c>
      <c r="C107" s="19"/>
      <c r="D107" s="17"/>
      <c r="E107" s="16"/>
      <c r="F107" s="18"/>
      <c r="G107" s="18"/>
      <c r="H107" s="37" t="str">
        <f>IFERROR(VLOOKUP(F107,'Product Spec'!B:D,2,FALSE)," ")</f>
        <v xml:space="preserve"> </v>
      </c>
      <c r="I107" s="37" t="str">
        <f t="shared" si="32"/>
        <v xml:space="preserve"> </v>
      </c>
      <c r="J107" s="37" t="str">
        <f>IFERROR(VLOOKUP(F107,'Product Spec'!B:D,3,FALSE)," ")</f>
        <v xml:space="preserve"> </v>
      </c>
      <c r="K107" s="43" t="str">
        <f t="shared" si="33"/>
        <v xml:space="preserve"> </v>
      </c>
      <c r="P107" s="8">
        <f t="shared" si="34"/>
        <v>1</v>
      </c>
      <c r="Q107" s="8" t="e" cm="1">
        <f t="array" ref="Q107">_xlfn.IFS(D107=30,0.87,D107=45,0.7,D107=60,0.5)</f>
        <v>#N/A</v>
      </c>
      <c r="R107" s="8">
        <f t="shared" si="35"/>
        <v>0</v>
      </c>
    </row>
    <row r="108" spans="1:22" ht="15" customHeight="1" x14ac:dyDescent="0.25">
      <c r="A108" s="236"/>
      <c r="B108" s="98" t="s">
        <v>170</v>
      </c>
      <c r="C108" s="99"/>
      <c r="D108" s="99"/>
      <c r="E108" s="99"/>
      <c r="F108" s="99"/>
      <c r="G108" s="100"/>
      <c r="H108" s="147" cm="1">
        <f t="array" ref="H108">IF(D8&lt;9,0,SUM(IFERROR(I102:I107,0)))</f>
        <v>0</v>
      </c>
      <c r="I108" s="148"/>
      <c r="J108" s="147" cm="1">
        <f t="array" ref="J108">IF(D8&lt;9,0,SUM(IFERROR(K102:K107,0)))</f>
        <v>0</v>
      </c>
      <c r="K108" s="149"/>
    </row>
    <row r="109" spans="1:22" ht="15" customHeight="1" x14ac:dyDescent="0.25">
      <c r="A109" s="44" t="s">
        <v>168</v>
      </c>
      <c r="B109" s="160"/>
      <c r="C109" s="161"/>
      <c r="D109" s="99" t="s">
        <v>166</v>
      </c>
      <c r="E109" s="99"/>
      <c r="F109" s="99"/>
      <c r="G109" s="100"/>
      <c r="H109" s="150" t="e">
        <f>MAX(100,(0.5*$D$3)/$D$8,V102)</f>
        <v>#VALUE!</v>
      </c>
      <c r="I109" s="151"/>
      <c r="J109" s="150" t="e">
        <f>MAX(100,(0.5*$I$3)/$D$8,V102)</f>
        <v>#VALUE!</v>
      </c>
      <c r="K109" s="152"/>
    </row>
    <row r="110" spans="1:22" customFormat="1" ht="15" customHeight="1" x14ac:dyDescent="0.25">
      <c r="A110" s="153" t="e">
        <f>IF(OR(S102&lt;1,S103&lt;1),"Warning: Doesn’t meet the minimum BU's requirement per line."," ")</f>
        <v>#VALUE!</v>
      </c>
      <c r="B110" s="154"/>
      <c r="C110" s="154"/>
      <c r="D110" s="154"/>
      <c r="E110" s="154"/>
      <c r="F110" s="154"/>
      <c r="G110" s="154"/>
      <c r="H110" s="154"/>
      <c r="I110" s="154"/>
      <c r="J110" s="154"/>
      <c r="K110" s="155"/>
    </row>
    <row r="111" spans="1:22" ht="15" customHeight="1" x14ac:dyDescent="0.25">
      <c r="A111" s="156"/>
      <c r="B111" s="157"/>
      <c r="C111" s="157"/>
      <c r="D111" s="157"/>
      <c r="E111" s="157"/>
      <c r="F111" s="157"/>
      <c r="G111" s="157"/>
      <c r="H111" s="157"/>
      <c r="I111" s="157"/>
      <c r="J111" s="157"/>
      <c r="K111" s="158"/>
      <c r="L111"/>
      <c r="M111"/>
      <c r="N111"/>
      <c r="O111"/>
      <c r="P111"/>
      <c r="Q111"/>
      <c r="R111"/>
      <c r="S111"/>
      <c r="T111"/>
      <c r="U111"/>
      <c r="V111"/>
    </row>
    <row r="112" spans="1:22" ht="15" customHeight="1" x14ac:dyDescent="0.25">
      <c r="A112" s="42" t="s">
        <v>83</v>
      </c>
      <c r="B112" s="33" t="s">
        <v>198</v>
      </c>
      <c r="C112" s="34" t="s">
        <v>86</v>
      </c>
      <c r="D112" s="33" t="s">
        <v>87</v>
      </c>
      <c r="E112" s="33" t="s">
        <v>111</v>
      </c>
      <c r="F112" s="33" t="s">
        <v>84</v>
      </c>
      <c r="G112" s="33" t="s">
        <v>85</v>
      </c>
      <c r="H112" s="24" t="s">
        <v>165</v>
      </c>
      <c r="I112" s="24" t="s">
        <v>169</v>
      </c>
      <c r="J112" s="24" t="s">
        <v>165</v>
      </c>
      <c r="K112" s="41" t="s">
        <v>169</v>
      </c>
      <c r="V112" s="8" t="s">
        <v>164</v>
      </c>
    </row>
    <row r="113" spans="1:22" ht="15" customHeight="1" x14ac:dyDescent="0.25">
      <c r="A113" s="236" t="s">
        <v>115</v>
      </c>
      <c r="B113" s="20" t="s">
        <v>199</v>
      </c>
      <c r="C113" s="19"/>
      <c r="D113" s="17"/>
      <c r="E113" s="16"/>
      <c r="F113" s="18"/>
      <c r="G113" s="18"/>
      <c r="H113" s="37" t="str">
        <f>IFERROR(VLOOKUP(F113,'Product Spec'!B:D,2,FALSE)," ")</f>
        <v xml:space="preserve"> </v>
      </c>
      <c r="I113" s="37" t="str">
        <f>IFERROR(C113*H113*P113*MIN(1,2.4/E113)," ")</f>
        <v xml:space="preserve"> </v>
      </c>
      <c r="J113" s="37" t="str">
        <f>IFERROR(VLOOKUP(F113,'Product Spec'!B:D,3,FALSE)," ")</f>
        <v xml:space="preserve"> </v>
      </c>
      <c r="K113" s="43" t="str">
        <f>IFERROR(C113*J113*P113*MIN(1,2.4/E113)," ")</f>
        <v xml:space="preserve"> </v>
      </c>
      <c r="P113" s="8">
        <f>IF(OR(D113=30,D113=45,D113=60),Q113,COS(R113))</f>
        <v>1</v>
      </c>
      <c r="Q113" s="8" t="e" cm="1">
        <f t="array" ref="Q113">_xlfn.IFS(D113=30,0.87,D113=45,0.7,D113=60,0.5)</f>
        <v>#N/A</v>
      </c>
      <c r="R113" s="8">
        <f>(PI()/180)*D113</f>
        <v>0</v>
      </c>
      <c r="S113" s="8" t="e">
        <f>H119/H120</f>
        <v>#VALUE!</v>
      </c>
      <c r="V113" s="8">
        <f xml:space="preserve"> C120*15</f>
        <v>0</v>
      </c>
    </row>
    <row r="114" spans="1:22" ht="15" customHeight="1" x14ac:dyDescent="0.25">
      <c r="A114" s="236"/>
      <c r="B114" s="20" t="s">
        <v>200</v>
      </c>
      <c r="C114" s="19"/>
      <c r="D114" s="17"/>
      <c r="E114" s="16"/>
      <c r="F114" s="18"/>
      <c r="G114" s="18"/>
      <c r="H114" s="37" t="str">
        <f>IFERROR(VLOOKUP(F114,'Product Spec'!B:D,2,FALSE)," ")</f>
        <v xml:space="preserve"> </v>
      </c>
      <c r="I114" s="37" t="str">
        <f t="shared" ref="I114:I118" si="36">IFERROR(C114*H114*P114*MIN(1,2.4/E114)," ")</f>
        <v xml:space="preserve"> </v>
      </c>
      <c r="J114" s="37" t="str">
        <f>IFERROR(VLOOKUP(F114,'Product Spec'!B:D,3,FALSE)," ")</f>
        <v xml:space="preserve"> </v>
      </c>
      <c r="K114" s="43" t="str">
        <f t="shared" ref="K114:K118" si="37">IFERROR(C114*J114*P114*MIN(1,2.4/E114)," ")</f>
        <v xml:space="preserve"> </v>
      </c>
      <c r="P114" s="8">
        <f t="shared" ref="P114:P118" si="38">IF(OR(D114=30,D114=45,D114=60),Q114,COS(R114))</f>
        <v>1</v>
      </c>
      <c r="Q114" s="8" t="e" cm="1">
        <f t="array" ref="Q114">_xlfn.IFS(D114=30,0.87,D114=45,0.7,D114=60,0.5)</f>
        <v>#N/A</v>
      </c>
      <c r="R114" s="8">
        <f t="shared" ref="R114:R118" si="39">(PI()/180)*D114</f>
        <v>0</v>
      </c>
      <c r="S114" s="8" t="e">
        <f>J119/J120</f>
        <v>#VALUE!</v>
      </c>
    </row>
    <row r="115" spans="1:22" ht="15" customHeight="1" x14ac:dyDescent="0.25">
      <c r="A115" s="236"/>
      <c r="B115" s="20" t="s">
        <v>201</v>
      </c>
      <c r="C115" s="19"/>
      <c r="D115" s="17"/>
      <c r="E115" s="16"/>
      <c r="F115" s="18"/>
      <c r="G115" s="18"/>
      <c r="H115" s="37" t="str">
        <f>IFERROR(VLOOKUP(F115,'Product Spec'!B:D,2,FALSE)," ")</f>
        <v xml:space="preserve"> </v>
      </c>
      <c r="I115" s="37" t="str">
        <f t="shared" si="36"/>
        <v xml:space="preserve"> </v>
      </c>
      <c r="J115" s="37" t="str">
        <f>IFERROR(VLOOKUP(F115,'Product Spec'!B:D,3,FALSE)," ")</f>
        <v xml:space="preserve"> </v>
      </c>
      <c r="K115" s="43" t="str">
        <f t="shared" si="37"/>
        <v xml:space="preserve"> </v>
      </c>
      <c r="P115" s="8">
        <f t="shared" si="38"/>
        <v>1</v>
      </c>
      <c r="Q115" s="8" t="e" cm="1">
        <f t="array" ref="Q115">_xlfn.IFS(D115=30,0.87,D115=45,0.7,D115=60,0.5)</f>
        <v>#N/A</v>
      </c>
      <c r="R115" s="8">
        <f t="shared" si="39"/>
        <v>0</v>
      </c>
    </row>
    <row r="116" spans="1:22" ht="15" customHeight="1" x14ac:dyDescent="0.25">
      <c r="A116" s="236"/>
      <c r="B116" s="20" t="s">
        <v>202</v>
      </c>
      <c r="C116" s="19"/>
      <c r="D116" s="17"/>
      <c r="E116" s="16"/>
      <c r="F116" s="18"/>
      <c r="G116" s="18"/>
      <c r="H116" s="37" t="str">
        <f>IFERROR(VLOOKUP(F116,'Product Spec'!B:D,2,FALSE)," ")</f>
        <v xml:space="preserve"> </v>
      </c>
      <c r="I116" s="37" t="str">
        <f t="shared" si="36"/>
        <v xml:space="preserve"> </v>
      </c>
      <c r="J116" s="37" t="str">
        <f>IFERROR(VLOOKUP(F116,'Product Spec'!B:D,3,FALSE)," ")</f>
        <v xml:space="preserve"> </v>
      </c>
      <c r="K116" s="43" t="str">
        <f t="shared" si="37"/>
        <v xml:space="preserve"> </v>
      </c>
      <c r="P116" s="8">
        <f t="shared" si="38"/>
        <v>1</v>
      </c>
      <c r="Q116" s="8" t="e" cm="1">
        <f t="array" ref="Q116">_xlfn.IFS(D116=30,0.87,D116=45,0.7,D116=60,0.5)</f>
        <v>#N/A</v>
      </c>
      <c r="R116" s="8">
        <f t="shared" si="39"/>
        <v>0</v>
      </c>
    </row>
    <row r="117" spans="1:22" ht="15" customHeight="1" x14ac:dyDescent="0.25">
      <c r="A117" s="236"/>
      <c r="B117" s="20" t="s">
        <v>203</v>
      </c>
      <c r="C117" s="19"/>
      <c r="D117" s="17"/>
      <c r="E117" s="16"/>
      <c r="F117" s="18"/>
      <c r="G117" s="18"/>
      <c r="H117" s="37" t="str">
        <f>IFERROR(VLOOKUP(F117,'Product Spec'!B:D,2,FALSE)," ")</f>
        <v xml:space="preserve"> </v>
      </c>
      <c r="I117" s="37" t="str">
        <f t="shared" si="36"/>
        <v xml:space="preserve"> </v>
      </c>
      <c r="J117" s="37" t="str">
        <f>IFERROR(VLOOKUP(F117,'Product Spec'!B:D,3,FALSE)," ")</f>
        <v xml:space="preserve"> </v>
      </c>
      <c r="K117" s="43" t="str">
        <f t="shared" si="37"/>
        <v xml:space="preserve"> </v>
      </c>
      <c r="P117" s="8">
        <f t="shared" si="38"/>
        <v>1</v>
      </c>
      <c r="Q117" s="8" t="e" cm="1">
        <f t="array" ref="Q117">_xlfn.IFS(D117=30,0.87,D117=45,0.7,D117=60,0.5)</f>
        <v>#N/A</v>
      </c>
      <c r="R117" s="8">
        <f t="shared" si="39"/>
        <v>0</v>
      </c>
    </row>
    <row r="118" spans="1:22" ht="15" customHeight="1" x14ac:dyDescent="0.25">
      <c r="A118" s="236"/>
      <c r="B118" s="20" t="s">
        <v>204</v>
      </c>
      <c r="C118" s="19"/>
      <c r="D118" s="17"/>
      <c r="E118" s="16"/>
      <c r="F118" s="18"/>
      <c r="G118" s="18"/>
      <c r="H118" s="37" t="str">
        <f>IFERROR(VLOOKUP(F118,'Product Spec'!B:D,2,FALSE)," ")</f>
        <v xml:space="preserve"> </v>
      </c>
      <c r="I118" s="37" t="str">
        <f t="shared" si="36"/>
        <v xml:space="preserve"> </v>
      </c>
      <c r="J118" s="37" t="str">
        <f>IFERROR(VLOOKUP(F118,'Product Spec'!B:D,3,FALSE)," ")</f>
        <v xml:space="preserve"> </v>
      </c>
      <c r="K118" s="43" t="str">
        <f t="shared" si="37"/>
        <v xml:space="preserve"> </v>
      </c>
      <c r="P118" s="8">
        <f t="shared" si="38"/>
        <v>1</v>
      </c>
      <c r="Q118" s="8" t="e" cm="1">
        <f t="array" ref="Q118">_xlfn.IFS(D118=30,0.87,D118=45,0.7,D118=60,0.5)</f>
        <v>#N/A</v>
      </c>
      <c r="R118" s="8">
        <f t="shared" si="39"/>
        <v>0</v>
      </c>
    </row>
    <row r="119" spans="1:22" ht="15" customHeight="1" x14ac:dyDescent="0.25">
      <c r="A119" s="236"/>
      <c r="B119" s="98" t="s">
        <v>170</v>
      </c>
      <c r="C119" s="99"/>
      <c r="D119" s="99"/>
      <c r="E119" s="99"/>
      <c r="F119" s="99"/>
      <c r="G119" s="100"/>
      <c r="H119" s="147" cm="1">
        <f t="array" ref="H119">IF(D8&lt;10,0,SUM(IFERROR(I113:I118,0)))</f>
        <v>0</v>
      </c>
      <c r="I119" s="148"/>
      <c r="J119" s="147" cm="1">
        <f t="array" ref="J119">IF(D8&lt;10,0,SUM(IFERROR(K113:K118,0)))</f>
        <v>0</v>
      </c>
      <c r="K119" s="149"/>
    </row>
    <row r="120" spans="1:22" ht="15" customHeight="1" x14ac:dyDescent="0.25">
      <c r="A120" s="44" t="s">
        <v>168</v>
      </c>
      <c r="B120" s="160"/>
      <c r="C120" s="161"/>
      <c r="D120" s="99" t="s">
        <v>166</v>
      </c>
      <c r="E120" s="99"/>
      <c r="F120" s="99"/>
      <c r="G120" s="100"/>
      <c r="H120" s="150" t="e">
        <f>MAX(100,(0.5*$D$3)/$D$8,V113)</f>
        <v>#VALUE!</v>
      </c>
      <c r="I120" s="151"/>
      <c r="J120" s="150" t="e">
        <f>MAX(100,(0.5*$I$3)/$D$8,V113)</f>
        <v>#VALUE!</v>
      </c>
      <c r="K120" s="152"/>
    </row>
    <row r="121" spans="1:22" customFormat="1" ht="15" customHeight="1" x14ac:dyDescent="0.25">
      <c r="A121" s="153" t="e">
        <f>IF(OR(S113&lt;1,S114&lt;1),"Warning: Doesn’t meet the minimum BU's requirement per line."," ")</f>
        <v>#VALUE!</v>
      </c>
      <c r="B121" s="154"/>
      <c r="C121" s="154"/>
      <c r="D121" s="154"/>
      <c r="E121" s="154"/>
      <c r="F121" s="154"/>
      <c r="G121" s="154"/>
      <c r="H121" s="154"/>
      <c r="I121" s="154"/>
      <c r="J121" s="154"/>
      <c r="K121" s="155"/>
    </row>
    <row r="122" spans="1:22" ht="15" customHeight="1" thickBot="1" x14ac:dyDescent="0.3">
      <c r="A122" s="162"/>
      <c r="B122" s="163"/>
      <c r="C122" s="163"/>
      <c r="D122" s="163"/>
      <c r="E122" s="163"/>
      <c r="F122" s="163"/>
      <c r="G122" s="163"/>
      <c r="H122" s="163"/>
      <c r="I122" s="163"/>
      <c r="J122" s="163"/>
      <c r="K122" s="164"/>
      <c r="L122"/>
      <c r="M122"/>
      <c r="N122"/>
      <c r="O122"/>
      <c r="P122"/>
      <c r="Q122"/>
      <c r="R122"/>
      <c r="S122"/>
      <c r="T122"/>
      <c r="U122"/>
      <c r="V122"/>
    </row>
    <row r="123" spans="1:22" ht="50.1" customHeight="1" x14ac:dyDescent="0.25">
      <c r="A123" s="173" t="s">
        <v>118</v>
      </c>
      <c r="B123" s="174"/>
      <c r="C123" s="174"/>
      <c r="D123" s="174"/>
      <c r="E123" s="174"/>
      <c r="F123" s="174"/>
      <c r="G123" s="174"/>
      <c r="H123" s="174"/>
      <c r="I123" s="174"/>
      <c r="J123" s="174"/>
      <c r="K123" s="175"/>
      <c r="L123"/>
      <c r="M123"/>
      <c r="N123"/>
      <c r="O123"/>
      <c r="P123"/>
      <c r="Q123"/>
      <c r="R123"/>
      <c r="S123"/>
      <c r="T123"/>
      <c r="U123"/>
      <c r="V123"/>
    </row>
    <row r="124" spans="1:22" ht="26.25" customHeight="1" x14ac:dyDescent="0.25">
      <c r="A124" s="176" t="s">
        <v>103</v>
      </c>
      <c r="B124" s="177"/>
      <c r="C124" s="177"/>
      <c r="D124" s="177"/>
      <c r="E124" s="177"/>
      <c r="F124" s="177"/>
      <c r="G124" s="177" t="s">
        <v>104</v>
      </c>
      <c r="H124" s="177"/>
      <c r="I124" s="177"/>
      <c r="J124" s="177"/>
      <c r="K124" s="178"/>
      <c r="L124"/>
      <c r="M124"/>
      <c r="N124"/>
      <c r="O124"/>
      <c r="P124"/>
      <c r="Q124"/>
      <c r="R124"/>
      <c r="S124"/>
      <c r="T124"/>
      <c r="U124"/>
      <c r="V124"/>
    </row>
    <row r="125" spans="1:22" ht="26.25" customHeight="1" x14ac:dyDescent="0.25">
      <c r="A125" s="165" t="s">
        <v>108</v>
      </c>
      <c r="B125" s="166"/>
      <c r="C125" s="166"/>
      <c r="D125" s="133" t="str">
        <f>IF('Bracing demand'!$DU$1=2,"#N/A",T1)</f>
        <v>#N/A</v>
      </c>
      <c r="E125" s="133"/>
      <c r="F125" s="33" t="s">
        <v>106</v>
      </c>
      <c r="G125" s="168" t="s">
        <v>108</v>
      </c>
      <c r="H125" s="168"/>
      <c r="I125" s="133" t="str">
        <f>IF('Bracing demand'!$DU$1=2,"#N/A",$T$2)</f>
        <v>#N/A</v>
      </c>
      <c r="J125" s="133"/>
      <c r="K125" s="40" t="s">
        <v>106</v>
      </c>
      <c r="L125"/>
      <c r="M125"/>
      <c r="N125"/>
      <c r="O125"/>
      <c r="P125"/>
      <c r="Q125"/>
      <c r="R125"/>
      <c r="S125"/>
      <c r="T125"/>
      <c r="U125"/>
      <c r="V125"/>
    </row>
    <row r="126" spans="1:22" ht="26.25" customHeight="1" x14ac:dyDescent="0.25">
      <c r="A126" s="165" t="s">
        <v>109</v>
      </c>
      <c r="B126" s="166"/>
      <c r="C126" s="166"/>
      <c r="D126" s="167">
        <f>ROUND(SUM(H142,H153,H164,H175,H186,H197,H208,H219,H230,H241),0)</f>
        <v>974</v>
      </c>
      <c r="E126" s="167"/>
      <c r="F126" s="33" t="s">
        <v>106</v>
      </c>
      <c r="G126" s="168" t="s">
        <v>109</v>
      </c>
      <c r="H126" s="168"/>
      <c r="I126" s="167">
        <f>ROUND(SUM(J142,J153,J164,J175,J186,J197,J208,J219,J230,J241),0)</f>
        <v>1130</v>
      </c>
      <c r="J126" s="167"/>
      <c r="K126" s="40" t="s">
        <v>106</v>
      </c>
      <c r="L126"/>
      <c r="M126"/>
      <c r="N126"/>
      <c r="O126"/>
      <c r="P126"/>
      <c r="Q126"/>
      <c r="R126"/>
      <c r="S126"/>
      <c r="T126"/>
      <c r="U126"/>
      <c r="V126"/>
    </row>
    <row r="127" spans="1:22" ht="26.25" customHeight="1" x14ac:dyDescent="0.25">
      <c r="A127" s="165" t="s">
        <v>110</v>
      </c>
      <c r="B127" s="166"/>
      <c r="C127" s="166"/>
      <c r="D127" s="167" t="e">
        <f>(D126/D3)*100</f>
        <v>#VALUE!</v>
      </c>
      <c r="E127" s="167"/>
      <c r="F127" s="33" t="s">
        <v>105</v>
      </c>
      <c r="G127" s="168" t="s">
        <v>110</v>
      </c>
      <c r="H127" s="168"/>
      <c r="I127" s="167" t="e">
        <f>(I126/I125)*100</f>
        <v>#VALUE!</v>
      </c>
      <c r="J127" s="167"/>
      <c r="K127" s="40" t="s">
        <v>105</v>
      </c>
      <c r="L127"/>
      <c r="M127"/>
      <c r="N127"/>
      <c r="O127"/>
      <c r="P127"/>
      <c r="Q127"/>
      <c r="R127"/>
      <c r="S127"/>
      <c r="T127"/>
      <c r="U127"/>
      <c r="V127"/>
    </row>
    <row r="128" spans="1:22" ht="24.95" customHeight="1" x14ac:dyDescent="0.25">
      <c r="A128" s="159" t="e">
        <f>IF(D127&gt;=100,"Pass","Fail (Not Enough BU's Achieved).")</f>
        <v>#VALUE!</v>
      </c>
      <c r="B128" s="97"/>
      <c r="C128" s="97"/>
      <c r="D128" s="97"/>
      <c r="E128" s="97"/>
      <c r="F128" s="97"/>
      <c r="G128" s="97" t="e">
        <f>IF(I127&gt;=100,"Pass","Fail (Not Enough BU's Achieved).")</f>
        <v>#VALUE!</v>
      </c>
      <c r="H128" s="97"/>
      <c r="I128" s="97"/>
      <c r="J128" s="97"/>
      <c r="K128" s="169"/>
      <c r="L128"/>
      <c r="M128"/>
      <c r="N128"/>
      <c r="O128"/>
      <c r="P128"/>
      <c r="Q128"/>
      <c r="R128"/>
      <c r="S128"/>
      <c r="T128"/>
      <c r="U128"/>
      <c r="V128"/>
    </row>
    <row r="129" spans="1:23" ht="24.95" customHeight="1" x14ac:dyDescent="0.25">
      <c r="A129" s="159"/>
      <c r="B129" s="97"/>
      <c r="C129" s="97"/>
      <c r="D129" s="97"/>
      <c r="E129" s="97"/>
      <c r="F129" s="97"/>
      <c r="G129" s="97"/>
      <c r="H129" s="97"/>
      <c r="I129" s="97"/>
      <c r="J129" s="97"/>
      <c r="K129" s="169"/>
      <c r="L129"/>
      <c r="M129"/>
      <c r="N129"/>
      <c r="O129"/>
      <c r="P129"/>
      <c r="Q129"/>
      <c r="R129"/>
      <c r="S129"/>
      <c r="T129"/>
      <c r="U129"/>
      <c r="V129"/>
    </row>
    <row r="130" spans="1:23" ht="9.9499999999999993" customHeight="1" x14ac:dyDescent="0.25">
      <c r="A130" s="185" t="s">
        <v>107</v>
      </c>
      <c r="B130" s="186"/>
      <c r="C130" s="186"/>
      <c r="D130" s="187">
        <v>10</v>
      </c>
      <c r="E130" s="102" t="s">
        <v>167</v>
      </c>
      <c r="F130" s="102"/>
      <c r="G130" s="102"/>
      <c r="H130" s="102"/>
      <c r="I130" s="102"/>
      <c r="J130" s="102"/>
      <c r="K130" s="188"/>
      <c r="L130"/>
      <c r="M130"/>
      <c r="N130"/>
      <c r="O130"/>
      <c r="P130"/>
      <c r="Q130"/>
      <c r="R130"/>
      <c r="S130"/>
      <c r="T130"/>
      <c r="U130"/>
      <c r="V130"/>
    </row>
    <row r="131" spans="1:23" ht="9.9499999999999993" customHeight="1" x14ac:dyDescent="0.25">
      <c r="A131" s="185"/>
      <c r="B131" s="186"/>
      <c r="C131" s="186"/>
      <c r="D131" s="187"/>
      <c r="E131" s="102"/>
      <c r="F131" s="102"/>
      <c r="G131" s="102"/>
      <c r="H131" s="102"/>
      <c r="I131" s="102"/>
      <c r="J131" s="102"/>
      <c r="K131" s="188"/>
      <c r="L131"/>
      <c r="M131"/>
      <c r="N131"/>
      <c r="O131"/>
      <c r="P131"/>
      <c r="Q131"/>
      <c r="R131"/>
      <c r="S131"/>
      <c r="T131"/>
      <c r="U131"/>
      <c r="V131"/>
    </row>
    <row r="132" spans="1:23" ht="9.9499999999999993" customHeight="1" x14ac:dyDescent="0.25">
      <c r="A132" s="185"/>
      <c r="B132" s="186"/>
      <c r="C132" s="186"/>
      <c r="D132" s="187"/>
      <c r="E132" s="102"/>
      <c r="F132" s="102"/>
      <c r="G132" s="102"/>
      <c r="H132" s="102"/>
      <c r="I132" s="102"/>
      <c r="J132" s="102"/>
      <c r="K132" s="188"/>
      <c r="L132"/>
      <c r="M132"/>
      <c r="N132"/>
      <c r="O132"/>
      <c r="P132"/>
      <c r="Q132"/>
      <c r="R132"/>
      <c r="S132"/>
      <c r="T132"/>
      <c r="U132"/>
      <c r="V132"/>
    </row>
    <row r="133" spans="1:23" ht="15" customHeight="1" x14ac:dyDescent="0.25">
      <c r="A133" s="191">
        <v>2</v>
      </c>
      <c r="B133" s="192"/>
      <c r="C133" s="192"/>
      <c r="D133" s="192"/>
      <c r="E133" s="192"/>
      <c r="F133" s="192"/>
      <c r="G133" s="192"/>
      <c r="H133" s="192"/>
      <c r="I133" s="192"/>
      <c r="J133" s="192"/>
      <c r="K133" s="193"/>
      <c r="L133"/>
      <c r="M133"/>
      <c r="N133"/>
      <c r="O133"/>
      <c r="P133"/>
      <c r="Q133"/>
      <c r="R133"/>
      <c r="S133"/>
      <c r="T133"/>
      <c r="U133"/>
      <c r="V133"/>
    </row>
    <row r="134" spans="1:23" ht="15" customHeight="1" x14ac:dyDescent="0.25">
      <c r="A134" s="189"/>
      <c r="B134" s="131"/>
      <c r="C134" s="131"/>
      <c r="D134" s="131"/>
      <c r="E134" s="131"/>
      <c r="F134" s="131"/>
      <c r="G134" s="132"/>
      <c r="H134" s="109" t="s">
        <v>103</v>
      </c>
      <c r="I134" s="111"/>
      <c r="J134" s="109" t="s">
        <v>104</v>
      </c>
      <c r="K134" s="190"/>
      <c r="L134"/>
      <c r="M134"/>
      <c r="N134"/>
      <c r="O134"/>
      <c r="P134"/>
      <c r="Q134"/>
      <c r="R134"/>
      <c r="S134"/>
      <c r="T134"/>
      <c r="U134"/>
      <c r="V134"/>
    </row>
    <row r="135" spans="1:23" ht="15" customHeight="1" x14ac:dyDescent="0.25">
      <c r="A135" s="42" t="s">
        <v>83</v>
      </c>
      <c r="B135" s="33" t="s">
        <v>198</v>
      </c>
      <c r="C135" s="34" t="s">
        <v>86</v>
      </c>
      <c r="D135" s="33" t="s">
        <v>87</v>
      </c>
      <c r="E135" s="33" t="s">
        <v>111</v>
      </c>
      <c r="F135" s="33" t="s">
        <v>84</v>
      </c>
      <c r="G135" s="33" t="s">
        <v>85</v>
      </c>
      <c r="H135" s="24" t="s">
        <v>165</v>
      </c>
      <c r="I135" s="24" t="s">
        <v>169</v>
      </c>
      <c r="J135" s="24" t="s">
        <v>165</v>
      </c>
      <c r="K135" s="41" t="s">
        <v>169</v>
      </c>
      <c r="L135"/>
      <c r="M135"/>
      <c r="N135"/>
      <c r="O135"/>
      <c r="V135" s="8" t="s">
        <v>164</v>
      </c>
    </row>
    <row r="136" spans="1:23" ht="15" customHeight="1" x14ac:dyDescent="0.25">
      <c r="A136" s="236" t="s">
        <v>185</v>
      </c>
      <c r="B136" s="20" t="s">
        <v>199</v>
      </c>
      <c r="C136" s="19">
        <v>1</v>
      </c>
      <c r="D136" s="17"/>
      <c r="E136" s="16">
        <v>2.7</v>
      </c>
      <c r="F136" s="18" t="s">
        <v>132</v>
      </c>
      <c r="G136" s="18" t="s">
        <v>134</v>
      </c>
      <c r="H136" s="37">
        <f>IFERROR(VLOOKUP(F136,'Product Spec'!B:D,2,FALSE)," ")</f>
        <v>81</v>
      </c>
      <c r="I136" s="37">
        <f>IFERROR(C136*H136*P136*MIN(1,2.4/E136)," ")</f>
        <v>72</v>
      </c>
      <c r="J136" s="37">
        <f>IFERROR(VLOOKUP(F136,'Product Spec'!B:D,3,FALSE)," ")</f>
        <v>94</v>
      </c>
      <c r="K136" s="43">
        <f>IFERROR(C136*J136*P136*MIN(1,2.4/E136)," ")</f>
        <v>83.555555555555557</v>
      </c>
      <c r="L136"/>
      <c r="M136"/>
      <c r="N136"/>
      <c r="O136"/>
      <c r="P136" s="8">
        <f>IF(OR(D136=30,D136=45,D136=60),Q136,COS(R136))</f>
        <v>1</v>
      </c>
      <c r="Q136" s="8" t="e" cm="1">
        <f t="array" ref="Q136">_xlfn.IFS(D136=30,0.87,D136=45,0.7,D136=60,0.5)</f>
        <v>#N/A</v>
      </c>
      <c r="R136" s="8">
        <f>(PI()/180)*D136</f>
        <v>0</v>
      </c>
      <c r="S136" s="8" t="e">
        <f>H142/H143</f>
        <v>#VALUE!</v>
      </c>
      <c r="V136" s="8">
        <f xml:space="preserve"> C143*15</f>
        <v>0</v>
      </c>
    </row>
    <row r="137" spans="1:23" ht="15" customHeight="1" x14ac:dyDescent="0.25">
      <c r="A137" s="236"/>
      <c r="B137" s="20" t="s">
        <v>200</v>
      </c>
      <c r="C137" s="19"/>
      <c r="D137" s="17"/>
      <c r="E137" s="16"/>
      <c r="F137" s="18"/>
      <c r="G137" s="18"/>
      <c r="H137" s="37" t="str">
        <f>IFERROR(VLOOKUP(F137,'Product Spec'!B:D,2,FALSE)," ")</f>
        <v xml:space="preserve"> </v>
      </c>
      <c r="I137" s="37" t="str">
        <f t="shared" ref="I137:I141" si="40">IFERROR(C137*H137*P137*MIN(1,2.4/E137)," ")</f>
        <v xml:space="preserve"> </v>
      </c>
      <c r="J137" s="37" t="str">
        <f>IFERROR(VLOOKUP(F137,'Product Spec'!B:D,3,FALSE)," ")</f>
        <v xml:space="preserve"> </v>
      </c>
      <c r="K137" s="43" t="str">
        <f t="shared" ref="K137:K141" si="41">IFERROR(C137*J137*P137*MIN(1,2.4/E137)," ")</f>
        <v xml:space="preserve"> </v>
      </c>
      <c r="L137"/>
      <c r="M137"/>
      <c r="N137"/>
      <c r="O137"/>
      <c r="P137" s="8">
        <f t="shared" ref="P137:P141" si="42">IF(OR(D137=30,D137=45,D137=60),Q137,COS(R137))</f>
        <v>1</v>
      </c>
      <c r="Q137" s="8" t="e" cm="1">
        <f t="array" ref="Q137">_xlfn.IFS(D137=30,0.87,D137=45,0.7,D137=60,0.5)</f>
        <v>#N/A</v>
      </c>
      <c r="R137" s="8">
        <f t="shared" ref="R137:R141" si="43">(PI()/180)*D137</f>
        <v>0</v>
      </c>
      <c r="S137" s="8" t="e">
        <f>J142/J143</f>
        <v>#VALUE!</v>
      </c>
    </row>
    <row r="138" spans="1:23" ht="15" customHeight="1" x14ac:dyDescent="0.25">
      <c r="A138" s="236"/>
      <c r="B138" s="20" t="s">
        <v>201</v>
      </c>
      <c r="C138" s="19"/>
      <c r="D138" s="17"/>
      <c r="E138" s="16"/>
      <c r="F138" s="18"/>
      <c r="G138" s="18"/>
      <c r="H138" s="37" t="str">
        <f>IFERROR(VLOOKUP(F138,'Product Spec'!B:D,2,FALSE)," ")</f>
        <v xml:space="preserve"> </v>
      </c>
      <c r="I138" s="37" t="str">
        <f t="shared" si="40"/>
        <v xml:space="preserve"> </v>
      </c>
      <c r="J138" s="37" t="str">
        <f>IFERROR(VLOOKUP(F138,'Product Spec'!B:D,3,FALSE)," ")</f>
        <v xml:space="preserve"> </v>
      </c>
      <c r="K138" s="43" t="str">
        <f t="shared" si="41"/>
        <v xml:space="preserve"> </v>
      </c>
      <c r="L138"/>
      <c r="M138"/>
      <c r="N138"/>
      <c r="O138"/>
      <c r="P138" s="8">
        <f t="shared" si="42"/>
        <v>1</v>
      </c>
      <c r="Q138" s="8" t="e" cm="1">
        <f t="array" ref="Q138">_xlfn.IFS(D138=30,0.87,D138=45,0.7,D138=60,0.5)</f>
        <v>#N/A</v>
      </c>
      <c r="R138" s="8">
        <f t="shared" si="43"/>
        <v>0</v>
      </c>
    </row>
    <row r="139" spans="1:23" ht="15" customHeight="1" x14ac:dyDescent="0.25">
      <c r="A139" s="236"/>
      <c r="B139" s="20" t="s">
        <v>202</v>
      </c>
      <c r="C139" s="19"/>
      <c r="D139" s="17"/>
      <c r="E139" s="16"/>
      <c r="F139" s="18"/>
      <c r="G139" s="18"/>
      <c r="H139" s="37" t="str">
        <f>IFERROR(VLOOKUP(F139,'Product Spec'!B:D,2,FALSE)," ")</f>
        <v xml:space="preserve"> </v>
      </c>
      <c r="I139" s="37" t="str">
        <f t="shared" si="40"/>
        <v xml:space="preserve"> </v>
      </c>
      <c r="J139" s="37" t="str">
        <f>IFERROR(VLOOKUP(F139,'Product Spec'!B:D,3,FALSE)," ")</f>
        <v xml:space="preserve"> </v>
      </c>
      <c r="K139" s="43" t="str">
        <f t="shared" si="41"/>
        <v xml:space="preserve"> </v>
      </c>
      <c r="L139"/>
      <c r="M139"/>
      <c r="N139"/>
      <c r="O139"/>
      <c r="P139" s="8">
        <f t="shared" si="42"/>
        <v>1</v>
      </c>
      <c r="Q139" s="8" t="e" cm="1">
        <f t="array" ref="Q139">_xlfn.IFS(D139=30,0.87,D139=45,0.7,D139=60,0.5)</f>
        <v>#N/A</v>
      </c>
      <c r="R139" s="8">
        <f t="shared" si="43"/>
        <v>0</v>
      </c>
    </row>
    <row r="140" spans="1:23" ht="15" customHeight="1" x14ac:dyDescent="0.25">
      <c r="A140" s="236"/>
      <c r="B140" s="20" t="s">
        <v>203</v>
      </c>
      <c r="C140" s="19"/>
      <c r="D140" s="17"/>
      <c r="E140" s="16"/>
      <c r="F140" s="18"/>
      <c r="G140" s="18"/>
      <c r="H140" s="37" t="str">
        <f>IFERROR(VLOOKUP(F140,'Product Spec'!B:D,2,FALSE)," ")</f>
        <v xml:space="preserve"> </v>
      </c>
      <c r="I140" s="37" t="str">
        <f t="shared" si="40"/>
        <v xml:space="preserve"> </v>
      </c>
      <c r="J140" s="37" t="str">
        <f>IFERROR(VLOOKUP(F140,'Product Spec'!B:D,3,FALSE)," ")</f>
        <v xml:space="preserve"> </v>
      </c>
      <c r="K140" s="43" t="str">
        <f t="shared" si="41"/>
        <v xml:space="preserve"> </v>
      </c>
      <c r="L140"/>
      <c r="M140"/>
      <c r="N140"/>
      <c r="O140"/>
      <c r="P140" s="8">
        <f t="shared" si="42"/>
        <v>1</v>
      </c>
      <c r="Q140" s="8" t="e" cm="1">
        <f t="array" ref="Q140">_xlfn.IFS(D140=30,0.87,D140=45,0.7,D140=60,0.5)</f>
        <v>#N/A</v>
      </c>
      <c r="R140" s="8">
        <f t="shared" si="43"/>
        <v>0</v>
      </c>
    </row>
    <row r="141" spans="1:23" ht="15" customHeight="1" x14ac:dyDescent="0.25">
      <c r="A141" s="236"/>
      <c r="B141" s="20" t="s">
        <v>204</v>
      </c>
      <c r="C141" s="19"/>
      <c r="D141" s="17"/>
      <c r="E141" s="16"/>
      <c r="F141" s="18"/>
      <c r="G141" s="18"/>
      <c r="H141" s="37" t="str">
        <f>IFERROR(VLOOKUP(F141,'Product Spec'!B:D,2,FALSE)," ")</f>
        <v xml:space="preserve"> </v>
      </c>
      <c r="I141" s="37" t="str">
        <f t="shared" si="40"/>
        <v xml:space="preserve"> </v>
      </c>
      <c r="J141" s="37" t="str">
        <f>IFERROR(VLOOKUP(F141,'Product Spec'!B:D,3,FALSE)," ")</f>
        <v xml:space="preserve"> </v>
      </c>
      <c r="K141" s="43" t="str">
        <f t="shared" si="41"/>
        <v xml:space="preserve"> </v>
      </c>
      <c r="L141"/>
      <c r="M141"/>
      <c r="N141"/>
      <c r="O141"/>
      <c r="P141" s="8">
        <f t="shared" si="42"/>
        <v>1</v>
      </c>
      <c r="Q141" s="8" t="e" cm="1">
        <f t="array" ref="Q141">_xlfn.IFS(D141=30,0.87,D141=45,0.7,D141=60,0.5)</f>
        <v>#N/A</v>
      </c>
      <c r="R141" s="8">
        <f t="shared" si="43"/>
        <v>0</v>
      </c>
    </row>
    <row r="142" spans="1:23" ht="15" customHeight="1" x14ac:dyDescent="0.25">
      <c r="A142" s="236"/>
      <c r="B142" s="98" t="s">
        <v>170</v>
      </c>
      <c r="C142" s="99"/>
      <c r="D142" s="99"/>
      <c r="E142" s="99"/>
      <c r="F142" s="99"/>
      <c r="G142" s="100"/>
      <c r="H142" s="147" cm="1">
        <f t="array" ref="H142">SUM(IFERROR(I136:I141,0))</f>
        <v>72</v>
      </c>
      <c r="I142" s="148"/>
      <c r="J142" s="147" cm="1">
        <f t="array" ref="J142">SUM(IFERROR(K136:K141,0))</f>
        <v>83.555555555555557</v>
      </c>
      <c r="K142" s="149"/>
      <c r="L142"/>
      <c r="M142"/>
      <c r="N142"/>
      <c r="O142"/>
    </row>
    <row r="143" spans="1:23" ht="15" customHeight="1" x14ac:dyDescent="0.25">
      <c r="A143" s="44" t="s">
        <v>168</v>
      </c>
      <c r="B143" s="160"/>
      <c r="C143" s="161"/>
      <c r="D143" s="99" t="s">
        <v>166</v>
      </c>
      <c r="E143" s="99"/>
      <c r="F143" s="99"/>
      <c r="G143" s="100"/>
      <c r="H143" s="150" t="e">
        <f>MAX(100,(0.5*$D$125)/$D$130,V136)</f>
        <v>#VALUE!</v>
      </c>
      <c r="I143" s="151"/>
      <c r="J143" s="150" t="e">
        <f>MAX(100,(0.5*$I$125)/$D$130,V136)</f>
        <v>#VALUE!</v>
      </c>
      <c r="K143" s="152"/>
      <c r="L143"/>
      <c r="M143"/>
      <c r="N143"/>
      <c r="O143"/>
    </row>
    <row r="144" spans="1:23" ht="15" customHeight="1" x14ac:dyDescent="0.25">
      <c r="A144" s="153" t="e">
        <f>IF(OR(S136&lt;1,S137&lt;1),"Warning: Doesn’t meet the minimum BU's requirement per line."," ")</f>
        <v>#VALUE!</v>
      </c>
      <c r="B144" s="154"/>
      <c r="C144" s="154"/>
      <c r="D144" s="154"/>
      <c r="E144" s="154"/>
      <c r="F144" s="154"/>
      <c r="G144" s="154"/>
      <c r="H144" s="154"/>
      <c r="I144" s="154"/>
      <c r="J144" s="154"/>
      <c r="K144" s="155"/>
      <c r="L144"/>
      <c r="M144"/>
      <c r="N144"/>
      <c r="O144"/>
      <c r="P144"/>
      <c r="Q144"/>
      <c r="R144"/>
      <c r="S144"/>
      <c r="T144"/>
      <c r="U144"/>
      <c r="V144"/>
      <c r="W144"/>
    </row>
    <row r="145" spans="1:23" ht="15" customHeight="1" x14ac:dyDescent="0.25">
      <c r="A145" s="156"/>
      <c r="B145" s="157"/>
      <c r="C145" s="157"/>
      <c r="D145" s="157"/>
      <c r="E145" s="157"/>
      <c r="F145" s="157"/>
      <c r="G145" s="157"/>
      <c r="H145" s="157"/>
      <c r="I145" s="157"/>
      <c r="J145" s="157"/>
      <c r="K145" s="158"/>
      <c r="L145"/>
      <c r="M145"/>
      <c r="N145"/>
      <c r="O145"/>
      <c r="P145"/>
      <c r="Q145"/>
      <c r="R145"/>
      <c r="S145"/>
      <c r="T145"/>
      <c r="U145"/>
      <c r="V145"/>
    </row>
    <row r="146" spans="1:23" ht="15" customHeight="1" x14ac:dyDescent="0.25">
      <c r="A146" s="42" t="s">
        <v>83</v>
      </c>
      <c r="B146" s="33" t="s">
        <v>198</v>
      </c>
      <c r="C146" s="34" t="s">
        <v>86</v>
      </c>
      <c r="D146" s="33" t="s">
        <v>87</v>
      </c>
      <c r="E146" s="33" t="s">
        <v>111</v>
      </c>
      <c r="F146" s="33" t="s">
        <v>84</v>
      </c>
      <c r="G146" s="33" t="s">
        <v>85</v>
      </c>
      <c r="H146" s="24" t="s">
        <v>165</v>
      </c>
      <c r="I146" s="24" t="s">
        <v>169</v>
      </c>
      <c r="J146" s="24" t="s">
        <v>165</v>
      </c>
      <c r="K146" s="41" t="s">
        <v>169</v>
      </c>
      <c r="L146"/>
      <c r="M146"/>
      <c r="N146"/>
      <c r="O146"/>
      <c r="V146" s="8" t="s">
        <v>164</v>
      </c>
    </row>
    <row r="147" spans="1:23" ht="15" customHeight="1" x14ac:dyDescent="0.25">
      <c r="A147" s="236" t="s">
        <v>186</v>
      </c>
      <c r="B147" s="20" t="s">
        <v>199</v>
      </c>
      <c r="C147" s="19">
        <v>1</v>
      </c>
      <c r="D147" s="17"/>
      <c r="E147" s="16">
        <v>2.7</v>
      </c>
      <c r="F147" s="18" t="s">
        <v>132</v>
      </c>
      <c r="G147" s="18" t="s">
        <v>134</v>
      </c>
      <c r="H147" s="37">
        <f>IFERROR(VLOOKUP(F147,'Product Spec'!B:D,2,FALSE)," ")</f>
        <v>81</v>
      </c>
      <c r="I147" s="37">
        <f>IFERROR(C147*H147*P147*MIN(1,2.4/E147)," ")</f>
        <v>72</v>
      </c>
      <c r="J147" s="37">
        <f>IFERROR(VLOOKUP(F147,'Product Spec'!B:D,3,FALSE)," ")</f>
        <v>94</v>
      </c>
      <c r="K147" s="43">
        <f>IFERROR(C147*J147*P147*MIN(1,2.4/E147)," ")</f>
        <v>83.555555555555557</v>
      </c>
      <c r="L147"/>
      <c r="M147"/>
      <c r="N147"/>
      <c r="O147"/>
      <c r="P147" s="8">
        <f>IF(OR(D147=30,D147=45,D147=60),Q147,COS(R147))</f>
        <v>1</v>
      </c>
      <c r="Q147" s="8" t="e" cm="1">
        <f t="array" ref="Q147">_xlfn.IFS(D147=30,0.87,D147=45,0.7,D147=60,0.5)</f>
        <v>#N/A</v>
      </c>
      <c r="R147" s="8">
        <f>(PI()/180)*D147</f>
        <v>0</v>
      </c>
      <c r="S147" s="8" t="e">
        <f>H153/H154</f>
        <v>#VALUE!</v>
      </c>
      <c r="V147" s="8">
        <f xml:space="preserve"> C154*15</f>
        <v>0</v>
      </c>
    </row>
    <row r="148" spans="1:23" ht="15" customHeight="1" x14ac:dyDescent="0.25">
      <c r="A148" s="236"/>
      <c r="B148" s="20" t="s">
        <v>200</v>
      </c>
      <c r="C148" s="19"/>
      <c r="D148" s="17"/>
      <c r="E148" s="16"/>
      <c r="F148" s="18"/>
      <c r="G148" s="18"/>
      <c r="H148" s="37" t="str">
        <f>IFERROR(VLOOKUP(F148,'Product Spec'!B:D,2,FALSE)," ")</f>
        <v xml:space="preserve"> </v>
      </c>
      <c r="I148" s="37" t="str">
        <f t="shared" ref="I148:I152" si="44">IFERROR(C148*H148*P148*MIN(1,2.4/E148)," ")</f>
        <v xml:space="preserve"> </v>
      </c>
      <c r="J148" s="37" t="str">
        <f>IFERROR(VLOOKUP(F148,'Product Spec'!B:D,3,FALSE)," ")</f>
        <v xml:space="preserve"> </v>
      </c>
      <c r="K148" s="43" t="str">
        <f t="shared" ref="K148:K152" si="45">IFERROR(C148*J148*P148*MIN(1,2.4/E148)," ")</f>
        <v xml:space="preserve"> </v>
      </c>
      <c r="L148"/>
      <c r="M148"/>
      <c r="N148"/>
      <c r="O148"/>
      <c r="P148" s="8">
        <f t="shared" ref="P148:P152" si="46">IF(OR(D148=30,D148=45,D148=60),Q148,COS(R148))</f>
        <v>1</v>
      </c>
      <c r="Q148" s="8" t="e" cm="1">
        <f t="array" ref="Q148">_xlfn.IFS(D148=30,0.87,D148=45,0.7,D148=60,0.5)</f>
        <v>#N/A</v>
      </c>
      <c r="R148" s="8">
        <f t="shared" ref="R148:R152" si="47">(PI()/180)*D148</f>
        <v>0</v>
      </c>
      <c r="S148" s="8" t="e">
        <f>J153/J154</f>
        <v>#VALUE!</v>
      </c>
    </row>
    <row r="149" spans="1:23" ht="15" customHeight="1" x14ac:dyDescent="0.25">
      <c r="A149" s="236"/>
      <c r="B149" s="20" t="s">
        <v>201</v>
      </c>
      <c r="C149" s="19"/>
      <c r="D149" s="17"/>
      <c r="E149" s="16"/>
      <c r="F149" s="18"/>
      <c r="G149" s="18"/>
      <c r="H149" s="37" t="str">
        <f>IFERROR(VLOOKUP(F149,'Product Spec'!B:D,2,FALSE)," ")</f>
        <v xml:space="preserve"> </v>
      </c>
      <c r="I149" s="37" t="str">
        <f t="shared" si="44"/>
        <v xml:space="preserve"> </v>
      </c>
      <c r="J149" s="37" t="str">
        <f>IFERROR(VLOOKUP(F149,'Product Spec'!B:D,3,FALSE)," ")</f>
        <v xml:space="preserve"> </v>
      </c>
      <c r="K149" s="43" t="str">
        <f t="shared" si="45"/>
        <v xml:space="preserve"> </v>
      </c>
      <c r="L149"/>
      <c r="M149"/>
      <c r="N149"/>
      <c r="O149"/>
      <c r="P149" s="8">
        <f t="shared" si="46"/>
        <v>1</v>
      </c>
      <c r="Q149" s="8" t="e" cm="1">
        <f t="array" ref="Q149">_xlfn.IFS(D149=30,0.87,D149=45,0.7,D149=60,0.5)</f>
        <v>#N/A</v>
      </c>
      <c r="R149" s="8">
        <f t="shared" si="47"/>
        <v>0</v>
      </c>
    </row>
    <row r="150" spans="1:23" ht="15" customHeight="1" x14ac:dyDescent="0.25">
      <c r="A150" s="236"/>
      <c r="B150" s="20" t="s">
        <v>202</v>
      </c>
      <c r="C150" s="19"/>
      <c r="D150" s="17"/>
      <c r="E150" s="16"/>
      <c r="F150" s="18"/>
      <c r="G150" s="18"/>
      <c r="H150" s="37" t="str">
        <f>IFERROR(VLOOKUP(F150,'Product Spec'!B:D,2,FALSE)," ")</f>
        <v xml:space="preserve"> </v>
      </c>
      <c r="I150" s="37" t="str">
        <f t="shared" si="44"/>
        <v xml:space="preserve"> </v>
      </c>
      <c r="J150" s="37" t="str">
        <f>IFERROR(VLOOKUP(F150,'Product Spec'!B:D,3,FALSE)," ")</f>
        <v xml:space="preserve"> </v>
      </c>
      <c r="K150" s="43" t="str">
        <f t="shared" si="45"/>
        <v xml:space="preserve"> </v>
      </c>
      <c r="L150"/>
      <c r="M150"/>
      <c r="N150"/>
      <c r="O150"/>
      <c r="P150" s="8">
        <f t="shared" si="46"/>
        <v>1</v>
      </c>
      <c r="Q150" s="8" t="e" cm="1">
        <f t="array" ref="Q150">_xlfn.IFS(D150=30,0.87,D150=45,0.7,D150=60,0.5)</f>
        <v>#N/A</v>
      </c>
      <c r="R150" s="8">
        <f t="shared" si="47"/>
        <v>0</v>
      </c>
    </row>
    <row r="151" spans="1:23" ht="15" customHeight="1" x14ac:dyDescent="0.25">
      <c r="A151" s="236"/>
      <c r="B151" s="20" t="s">
        <v>203</v>
      </c>
      <c r="C151" s="19"/>
      <c r="D151" s="17"/>
      <c r="E151" s="16"/>
      <c r="F151" s="18"/>
      <c r="G151" s="18"/>
      <c r="H151" s="37" t="str">
        <f>IFERROR(VLOOKUP(F151,'Product Spec'!B:D,2,FALSE)," ")</f>
        <v xml:space="preserve"> </v>
      </c>
      <c r="I151" s="37" t="str">
        <f t="shared" si="44"/>
        <v xml:space="preserve"> </v>
      </c>
      <c r="J151" s="37" t="str">
        <f>IFERROR(VLOOKUP(F151,'Product Spec'!B:D,3,FALSE)," ")</f>
        <v xml:space="preserve"> </v>
      </c>
      <c r="K151" s="43" t="str">
        <f t="shared" si="45"/>
        <v xml:space="preserve"> </v>
      </c>
      <c r="L151"/>
      <c r="M151"/>
      <c r="N151"/>
      <c r="O151"/>
      <c r="P151" s="8">
        <f t="shared" si="46"/>
        <v>1</v>
      </c>
      <c r="Q151" s="8" t="e" cm="1">
        <f t="array" ref="Q151">_xlfn.IFS(D151=30,0.87,D151=45,0.7,D151=60,0.5)</f>
        <v>#N/A</v>
      </c>
      <c r="R151" s="8">
        <f t="shared" si="47"/>
        <v>0</v>
      </c>
    </row>
    <row r="152" spans="1:23" ht="15" customHeight="1" x14ac:dyDescent="0.25">
      <c r="A152" s="236"/>
      <c r="B152" s="20" t="s">
        <v>204</v>
      </c>
      <c r="C152" s="19"/>
      <c r="D152" s="17"/>
      <c r="E152" s="16"/>
      <c r="F152" s="18"/>
      <c r="G152" s="18"/>
      <c r="H152" s="37" t="str">
        <f>IFERROR(VLOOKUP(F152,'Product Spec'!B:D,2,FALSE)," ")</f>
        <v xml:space="preserve"> </v>
      </c>
      <c r="I152" s="37" t="str">
        <f t="shared" si="44"/>
        <v xml:space="preserve"> </v>
      </c>
      <c r="J152" s="37" t="str">
        <f>IFERROR(VLOOKUP(F152,'Product Spec'!B:D,3,FALSE)," ")</f>
        <v xml:space="preserve"> </v>
      </c>
      <c r="K152" s="43" t="str">
        <f t="shared" si="45"/>
        <v xml:space="preserve"> </v>
      </c>
      <c r="L152"/>
      <c r="M152"/>
      <c r="N152"/>
      <c r="O152"/>
      <c r="P152" s="8">
        <f t="shared" si="46"/>
        <v>1</v>
      </c>
      <c r="Q152" s="8" t="e" cm="1">
        <f t="array" ref="Q152">_xlfn.IFS(D152=30,0.87,D152=45,0.7,D152=60,0.5)</f>
        <v>#N/A</v>
      </c>
      <c r="R152" s="8">
        <f t="shared" si="47"/>
        <v>0</v>
      </c>
    </row>
    <row r="153" spans="1:23" ht="15" customHeight="1" x14ac:dyDescent="0.25">
      <c r="A153" s="236"/>
      <c r="B153" s="98" t="s">
        <v>170</v>
      </c>
      <c r="C153" s="99"/>
      <c r="D153" s="99"/>
      <c r="E153" s="99"/>
      <c r="F153" s="99"/>
      <c r="G153" s="100"/>
      <c r="H153" s="147" cm="1">
        <f t="array" ref="H153">IF(D130&lt;2,0,SUM(IFERROR(I147:I152,0)))</f>
        <v>72</v>
      </c>
      <c r="I153" s="148"/>
      <c r="J153" s="147" cm="1">
        <f t="array" ref="J153">IF(D130&lt;2,0,SUM(IFERROR(K147:K152,0)))</f>
        <v>83.555555555555557</v>
      </c>
      <c r="K153" s="149"/>
      <c r="L153"/>
      <c r="M153"/>
      <c r="N153"/>
      <c r="O153"/>
    </row>
    <row r="154" spans="1:23" ht="15" customHeight="1" x14ac:dyDescent="0.25">
      <c r="A154" s="44" t="s">
        <v>168</v>
      </c>
      <c r="B154" s="160"/>
      <c r="C154" s="161"/>
      <c r="D154" s="99" t="s">
        <v>166</v>
      </c>
      <c r="E154" s="99"/>
      <c r="F154" s="99"/>
      <c r="G154" s="100"/>
      <c r="H154" s="150" t="e">
        <f>MAX(100,(0.5*$D$125)/$D$130,V147)</f>
        <v>#VALUE!</v>
      </c>
      <c r="I154" s="151"/>
      <c r="J154" s="150" t="e">
        <f>MAX(100,(0.5*$I$125)/$D$130,V147)</f>
        <v>#VALUE!</v>
      </c>
      <c r="K154" s="152"/>
      <c r="L154"/>
      <c r="M154"/>
      <c r="N154"/>
      <c r="O154"/>
    </row>
    <row r="155" spans="1:23" ht="15" customHeight="1" x14ac:dyDescent="0.25">
      <c r="A155" s="153" t="e">
        <f>IF(OR(S147&lt;1,S148&lt;1),"Warning: Doesn’t meet the minimum BU's requirement per line."," ")</f>
        <v>#VALUE!</v>
      </c>
      <c r="B155" s="154"/>
      <c r="C155" s="154"/>
      <c r="D155" s="154"/>
      <c r="E155" s="154"/>
      <c r="F155" s="154"/>
      <c r="G155" s="154"/>
      <c r="H155" s="154"/>
      <c r="I155" s="154"/>
      <c r="J155" s="154"/>
      <c r="K155" s="155"/>
      <c r="L155"/>
      <c r="M155"/>
      <c r="N155"/>
      <c r="O155"/>
      <c r="P155"/>
      <c r="Q155"/>
      <c r="R155"/>
      <c r="S155"/>
      <c r="T155"/>
      <c r="U155"/>
      <c r="V155"/>
      <c r="W155"/>
    </row>
    <row r="156" spans="1:23" ht="15" customHeight="1" x14ac:dyDescent="0.25">
      <c r="A156" s="156"/>
      <c r="B156" s="157"/>
      <c r="C156" s="157"/>
      <c r="D156" s="157"/>
      <c r="E156" s="157"/>
      <c r="F156" s="157"/>
      <c r="G156" s="157"/>
      <c r="H156" s="157"/>
      <c r="I156" s="157"/>
      <c r="J156" s="157"/>
      <c r="K156" s="158"/>
      <c r="L156"/>
      <c r="M156"/>
      <c r="N156"/>
      <c r="O156"/>
      <c r="P156"/>
      <c r="Q156"/>
      <c r="R156"/>
      <c r="S156"/>
      <c r="T156"/>
      <c r="U156"/>
      <c r="V156"/>
    </row>
    <row r="157" spans="1:23" ht="15" customHeight="1" x14ac:dyDescent="0.25">
      <c r="A157" s="42" t="s">
        <v>83</v>
      </c>
      <c r="B157" s="33" t="s">
        <v>198</v>
      </c>
      <c r="C157" s="34" t="s">
        <v>86</v>
      </c>
      <c r="D157" s="33" t="s">
        <v>87</v>
      </c>
      <c r="E157" s="33" t="s">
        <v>111</v>
      </c>
      <c r="F157" s="33" t="s">
        <v>84</v>
      </c>
      <c r="G157" s="33" t="s">
        <v>85</v>
      </c>
      <c r="H157" s="24" t="s">
        <v>165</v>
      </c>
      <c r="I157" s="24" t="s">
        <v>169</v>
      </c>
      <c r="J157" s="24" t="s">
        <v>165</v>
      </c>
      <c r="K157" s="41" t="s">
        <v>169</v>
      </c>
      <c r="L157"/>
      <c r="M157"/>
      <c r="N157"/>
      <c r="O157"/>
      <c r="V157" s="8" t="s">
        <v>164</v>
      </c>
    </row>
    <row r="158" spans="1:23" s="39" customFormat="1" ht="15" customHeight="1" x14ac:dyDescent="0.25">
      <c r="A158" s="236" t="s">
        <v>187</v>
      </c>
      <c r="B158" s="20" t="s">
        <v>199</v>
      </c>
      <c r="C158" s="19">
        <v>1</v>
      </c>
      <c r="D158" s="17"/>
      <c r="E158" s="16">
        <v>1</v>
      </c>
      <c r="F158" s="18" t="s">
        <v>132</v>
      </c>
      <c r="G158" s="18" t="s">
        <v>134</v>
      </c>
      <c r="H158" s="37">
        <f>IFERROR(VLOOKUP(F158,'Product Spec'!B:D,2,FALSE)," ")</f>
        <v>81</v>
      </c>
      <c r="I158" s="37">
        <f>IFERROR(C158*H158*P158*MIN(1,2.4/E158)," ")</f>
        <v>81</v>
      </c>
      <c r="J158" s="37">
        <f>IFERROR(VLOOKUP(F158,'Product Spec'!B:D,3,FALSE)," ")</f>
        <v>94</v>
      </c>
      <c r="K158" s="43">
        <f>IFERROR(C158*J158*P158*MIN(1,2.4/E158)," ")</f>
        <v>94</v>
      </c>
      <c r="L158" s="38"/>
      <c r="M158" s="38"/>
      <c r="N158" s="38"/>
      <c r="O158" s="38"/>
      <c r="P158" s="39">
        <f>IF(OR(D158=30,D158=45,D158=60),Q158,COS(R158))</f>
        <v>1</v>
      </c>
      <c r="Q158" s="39" t="e" cm="1">
        <f t="array" ref="Q158">_xlfn.IFS(D158=30,0.87,D158=45,0.7,D158=60,0.5)</f>
        <v>#N/A</v>
      </c>
      <c r="R158" s="39">
        <f>(PI()/180)*D158</f>
        <v>0</v>
      </c>
      <c r="S158" s="39" t="e">
        <f>H164/H165</f>
        <v>#VALUE!</v>
      </c>
      <c r="V158" s="39">
        <f xml:space="preserve"> C165*15</f>
        <v>0</v>
      </c>
    </row>
    <row r="159" spans="1:23" s="39" customFormat="1" ht="15" customHeight="1" x14ac:dyDescent="0.25">
      <c r="A159" s="236"/>
      <c r="B159" s="20" t="s">
        <v>200</v>
      </c>
      <c r="C159" s="19"/>
      <c r="D159" s="17"/>
      <c r="E159" s="16"/>
      <c r="F159" s="18"/>
      <c r="G159" s="18"/>
      <c r="H159" s="37" t="str">
        <f>IFERROR(VLOOKUP(F159,'Product Spec'!B:D,2,FALSE)," ")</f>
        <v xml:space="preserve"> </v>
      </c>
      <c r="I159" s="37" t="str">
        <f t="shared" ref="I159:I163" si="48">IFERROR(C159*H159*P159*MIN(1,2.4/E159)," ")</f>
        <v xml:space="preserve"> </v>
      </c>
      <c r="J159" s="37" t="str">
        <f>IFERROR(VLOOKUP(F159,'Product Spec'!B:D,3,FALSE)," ")</f>
        <v xml:space="preserve"> </v>
      </c>
      <c r="K159" s="43" t="str">
        <f t="shared" ref="K159:K163" si="49">IFERROR(C159*J159*P159*MIN(1,2.4/E159)," ")</f>
        <v xml:space="preserve"> </v>
      </c>
      <c r="L159" s="38"/>
      <c r="M159" s="38"/>
      <c r="N159" s="38"/>
      <c r="O159" s="38"/>
      <c r="P159" s="39">
        <f t="shared" ref="P159:P163" si="50">IF(OR(D159=30,D159=45,D159=60),Q159,COS(R159))</f>
        <v>1</v>
      </c>
      <c r="Q159" s="39" t="e" cm="1">
        <f t="array" ref="Q159">_xlfn.IFS(D159=30,0.87,D159=45,0.7,D159=60,0.5)</f>
        <v>#N/A</v>
      </c>
      <c r="R159" s="39">
        <f t="shared" ref="R159:R163" si="51">(PI()/180)*D159</f>
        <v>0</v>
      </c>
      <c r="S159" s="39" t="e">
        <f>J164/J165</f>
        <v>#VALUE!</v>
      </c>
    </row>
    <row r="160" spans="1:23" s="39" customFormat="1" ht="15" customHeight="1" x14ac:dyDescent="0.25">
      <c r="A160" s="236"/>
      <c r="B160" s="20" t="s">
        <v>201</v>
      </c>
      <c r="C160" s="19"/>
      <c r="D160" s="17"/>
      <c r="E160" s="16"/>
      <c r="F160" s="18"/>
      <c r="G160" s="18"/>
      <c r="H160" s="37" t="str">
        <f>IFERROR(VLOOKUP(F160,'Product Spec'!B:D,2,FALSE)," ")</f>
        <v xml:space="preserve"> </v>
      </c>
      <c r="I160" s="37" t="str">
        <f t="shared" si="48"/>
        <v xml:space="preserve"> </v>
      </c>
      <c r="J160" s="37" t="str">
        <f>IFERROR(VLOOKUP(F160,'Product Spec'!B:D,3,FALSE)," ")</f>
        <v xml:space="preserve"> </v>
      </c>
      <c r="K160" s="43" t="str">
        <f t="shared" si="49"/>
        <v xml:space="preserve"> </v>
      </c>
      <c r="L160" s="38"/>
      <c r="M160" s="38"/>
      <c r="N160" s="38"/>
      <c r="O160" s="38"/>
      <c r="P160" s="39">
        <f t="shared" si="50"/>
        <v>1</v>
      </c>
      <c r="Q160" s="39" t="e" cm="1">
        <f t="array" ref="Q160">_xlfn.IFS(D160=30,0.87,D160=45,0.7,D160=60,0.5)</f>
        <v>#N/A</v>
      </c>
      <c r="R160" s="39">
        <f t="shared" si="51"/>
        <v>0</v>
      </c>
    </row>
    <row r="161" spans="1:23" s="39" customFormat="1" ht="15" customHeight="1" x14ac:dyDescent="0.25">
      <c r="A161" s="236"/>
      <c r="B161" s="20" t="s">
        <v>202</v>
      </c>
      <c r="C161" s="19"/>
      <c r="D161" s="17"/>
      <c r="E161" s="16"/>
      <c r="F161" s="18"/>
      <c r="G161" s="18"/>
      <c r="H161" s="37" t="str">
        <f>IFERROR(VLOOKUP(F161,'Product Spec'!B:D,2,FALSE)," ")</f>
        <v xml:space="preserve"> </v>
      </c>
      <c r="I161" s="37" t="str">
        <f t="shared" si="48"/>
        <v xml:space="preserve"> </v>
      </c>
      <c r="J161" s="37" t="str">
        <f>IFERROR(VLOOKUP(F161,'Product Spec'!B:D,3,FALSE)," ")</f>
        <v xml:space="preserve"> </v>
      </c>
      <c r="K161" s="43" t="str">
        <f t="shared" si="49"/>
        <v xml:space="preserve"> </v>
      </c>
      <c r="L161" s="38"/>
      <c r="M161" s="38"/>
      <c r="N161" s="38"/>
      <c r="O161" s="38"/>
      <c r="P161" s="39">
        <f t="shared" si="50"/>
        <v>1</v>
      </c>
      <c r="Q161" s="39" t="e" cm="1">
        <f t="array" ref="Q161">_xlfn.IFS(D161=30,0.87,D161=45,0.7,D161=60,0.5)</f>
        <v>#N/A</v>
      </c>
      <c r="R161" s="39">
        <f t="shared" si="51"/>
        <v>0</v>
      </c>
    </row>
    <row r="162" spans="1:23" s="39" customFormat="1" ht="15" customHeight="1" x14ac:dyDescent="0.25">
      <c r="A162" s="236"/>
      <c r="B162" s="20" t="s">
        <v>203</v>
      </c>
      <c r="C162" s="19"/>
      <c r="D162" s="17"/>
      <c r="E162" s="16"/>
      <c r="F162" s="18"/>
      <c r="G162" s="18"/>
      <c r="H162" s="37" t="str">
        <f>IFERROR(VLOOKUP(F162,'Product Spec'!B:D,2,FALSE)," ")</f>
        <v xml:space="preserve"> </v>
      </c>
      <c r="I162" s="37" t="str">
        <f t="shared" si="48"/>
        <v xml:space="preserve"> </v>
      </c>
      <c r="J162" s="37" t="str">
        <f>IFERROR(VLOOKUP(F162,'Product Spec'!B:D,3,FALSE)," ")</f>
        <v xml:space="preserve"> </v>
      </c>
      <c r="K162" s="43" t="str">
        <f t="shared" si="49"/>
        <v xml:space="preserve"> </v>
      </c>
      <c r="L162" s="38"/>
      <c r="M162" s="38"/>
      <c r="N162" s="38"/>
      <c r="O162" s="38"/>
      <c r="P162" s="39">
        <f t="shared" si="50"/>
        <v>1</v>
      </c>
      <c r="Q162" s="39" t="e" cm="1">
        <f t="array" ref="Q162">_xlfn.IFS(D162=30,0.87,D162=45,0.7,D162=60,0.5)</f>
        <v>#N/A</v>
      </c>
      <c r="R162" s="39">
        <f t="shared" si="51"/>
        <v>0</v>
      </c>
    </row>
    <row r="163" spans="1:23" s="39" customFormat="1" ht="15" customHeight="1" x14ac:dyDescent="0.25">
      <c r="A163" s="236"/>
      <c r="B163" s="20" t="s">
        <v>204</v>
      </c>
      <c r="C163" s="19"/>
      <c r="D163" s="17"/>
      <c r="E163" s="16"/>
      <c r="F163" s="18"/>
      <c r="G163" s="18"/>
      <c r="H163" s="37" t="str">
        <f>IFERROR(VLOOKUP(F163,'Product Spec'!B:D,2,FALSE)," ")</f>
        <v xml:space="preserve"> </v>
      </c>
      <c r="I163" s="37" t="str">
        <f t="shared" si="48"/>
        <v xml:space="preserve"> </v>
      </c>
      <c r="J163" s="37" t="str">
        <f>IFERROR(VLOOKUP(F163,'Product Spec'!B:D,3,FALSE)," ")</f>
        <v xml:space="preserve"> </v>
      </c>
      <c r="K163" s="43" t="str">
        <f t="shared" si="49"/>
        <v xml:space="preserve"> </v>
      </c>
      <c r="L163" s="38"/>
      <c r="M163" s="38"/>
      <c r="N163" s="38"/>
      <c r="O163" s="38"/>
      <c r="P163" s="39">
        <f t="shared" si="50"/>
        <v>1</v>
      </c>
      <c r="Q163" s="39" t="e" cm="1">
        <f t="array" ref="Q163">_xlfn.IFS(D163=30,0.87,D163=45,0.7,D163=60,0.5)</f>
        <v>#N/A</v>
      </c>
      <c r="R163" s="39">
        <f t="shared" si="51"/>
        <v>0</v>
      </c>
    </row>
    <row r="164" spans="1:23" ht="15" customHeight="1" x14ac:dyDescent="0.25">
      <c r="A164" s="236"/>
      <c r="B164" s="98" t="s">
        <v>170</v>
      </c>
      <c r="C164" s="99"/>
      <c r="D164" s="99"/>
      <c r="E164" s="99"/>
      <c r="F164" s="99"/>
      <c r="G164" s="100"/>
      <c r="H164" s="147" cm="1">
        <f t="array" ref="H164">IF(D130&lt;3,0,SUM(IFERROR(I158:I163,0)))</f>
        <v>81</v>
      </c>
      <c r="I164" s="148"/>
      <c r="J164" s="147" cm="1">
        <f t="array" ref="J164">IF(D130&lt;3,0,SUM(IFERROR(K158:K163,0)))</f>
        <v>94</v>
      </c>
      <c r="K164" s="149"/>
      <c r="L164"/>
      <c r="M164"/>
      <c r="N164"/>
      <c r="O164"/>
    </row>
    <row r="165" spans="1:23" ht="15" customHeight="1" x14ac:dyDescent="0.25">
      <c r="A165" s="44" t="s">
        <v>168</v>
      </c>
      <c r="B165" s="160"/>
      <c r="C165" s="161"/>
      <c r="D165" s="99" t="s">
        <v>166</v>
      </c>
      <c r="E165" s="99"/>
      <c r="F165" s="99"/>
      <c r="G165" s="100"/>
      <c r="H165" s="150" t="e">
        <f>MAX(100,(0.5*$D$125)/$D$130,V158)</f>
        <v>#VALUE!</v>
      </c>
      <c r="I165" s="151"/>
      <c r="J165" s="150" t="e">
        <f>MAX(100,(0.5*$I$125)/$D$130,V158)</f>
        <v>#VALUE!</v>
      </c>
      <c r="K165" s="152"/>
      <c r="L165"/>
      <c r="M165"/>
      <c r="N165"/>
      <c r="O165"/>
    </row>
    <row r="166" spans="1:23" ht="15" customHeight="1" x14ac:dyDescent="0.25">
      <c r="A166" s="153" t="e">
        <f>IF(OR(S158&lt;1,S159&lt;1),"Warning: Doesn’t meet the minimum BU's requirement per line."," ")</f>
        <v>#VALUE!</v>
      </c>
      <c r="B166" s="154"/>
      <c r="C166" s="154"/>
      <c r="D166" s="154"/>
      <c r="E166" s="154"/>
      <c r="F166" s="154"/>
      <c r="G166" s="154"/>
      <c r="H166" s="154"/>
      <c r="I166" s="154"/>
      <c r="J166" s="154"/>
      <c r="K166" s="155"/>
      <c r="L166"/>
      <c r="M166"/>
      <c r="N166"/>
      <c r="O166"/>
      <c r="P166"/>
      <c r="Q166"/>
      <c r="R166"/>
      <c r="S166"/>
      <c r="T166"/>
      <c r="U166"/>
      <c r="V166"/>
      <c r="W166"/>
    </row>
    <row r="167" spans="1:23" ht="15" customHeight="1" x14ac:dyDescent="0.25">
      <c r="A167" s="170"/>
      <c r="B167" s="171"/>
      <c r="C167" s="171"/>
      <c r="D167" s="171"/>
      <c r="E167" s="171"/>
      <c r="F167" s="171"/>
      <c r="G167" s="171"/>
      <c r="H167" s="171"/>
      <c r="I167" s="171"/>
      <c r="J167" s="171"/>
      <c r="K167" s="172"/>
      <c r="L167"/>
      <c r="M167"/>
      <c r="N167"/>
      <c r="O167"/>
      <c r="P167"/>
      <c r="Q167"/>
      <c r="R167"/>
      <c r="S167"/>
      <c r="T167"/>
      <c r="U167"/>
      <c r="V167"/>
      <c r="W167"/>
    </row>
    <row r="168" spans="1:23" ht="15" customHeight="1" x14ac:dyDescent="0.25">
      <c r="A168" s="42" t="s">
        <v>83</v>
      </c>
      <c r="B168" s="33" t="s">
        <v>198</v>
      </c>
      <c r="C168" s="34" t="s">
        <v>86</v>
      </c>
      <c r="D168" s="33" t="s">
        <v>87</v>
      </c>
      <c r="E168" s="33" t="s">
        <v>111</v>
      </c>
      <c r="F168" s="33" t="s">
        <v>84</v>
      </c>
      <c r="G168" s="33" t="s">
        <v>85</v>
      </c>
      <c r="H168" s="24" t="s">
        <v>165</v>
      </c>
      <c r="I168" s="24" t="s">
        <v>169</v>
      </c>
      <c r="J168" s="24" t="s">
        <v>165</v>
      </c>
      <c r="K168" s="41" t="s">
        <v>169</v>
      </c>
      <c r="L168"/>
      <c r="M168"/>
      <c r="N168"/>
      <c r="O168"/>
      <c r="V168" s="8" t="s">
        <v>164</v>
      </c>
    </row>
    <row r="169" spans="1:23" ht="15" customHeight="1" x14ac:dyDescent="0.25">
      <c r="A169" s="236" t="s">
        <v>188</v>
      </c>
      <c r="B169" s="20" t="s">
        <v>199</v>
      </c>
      <c r="C169" s="19"/>
      <c r="D169" s="17"/>
      <c r="E169" s="16"/>
      <c r="F169" s="18"/>
      <c r="G169" s="18" t="s">
        <v>134</v>
      </c>
      <c r="H169" s="37" t="str">
        <f>IFERROR(VLOOKUP(F169,'Product Spec'!B:D,2,FALSE)," ")</f>
        <v xml:space="preserve"> </v>
      </c>
      <c r="I169" s="37" t="str">
        <f>IFERROR(C169*H169*P169*MIN(1,2.4/E169)," ")</f>
        <v xml:space="preserve"> </v>
      </c>
      <c r="J169" s="37" t="str">
        <f>IFERROR(VLOOKUP(F169,'Product Spec'!B:D,3,FALSE)," ")</f>
        <v xml:space="preserve"> </v>
      </c>
      <c r="K169" s="43" t="str">
        <f>IFERROR(C169*J169*P169*MIN(1,2.4/E169)," ")</f>
        <v xml:space="preserve"> </v>
      </c>
      <c r="L169"/>
      <c r="M169"/>
      <c r="N169"/>
      <c r="O169"/>
      <c r="P169" s="8">
        <f>IF(OR(D169=30,D169=45,D169=60),Q169,COS(R169))</f>
        <v>1</v>
      </c>
      <c r="Q169" s="8" t="e" cm="1">
        <f t="array" ref="Q169">_xlfn.IFS(D169=30,0.87,D169=45,0.7,D169=60,0.5)</f>
        <v>#N/A</v>
      </c>
      <c r="R169" s="8">
        <f>(PI()/180)*D169</f>
        <v>0</v>
      </c>
      <c r="S169" s="8" t="e">
        <f>H175/H176</f>
        <v>#VALUE!</v>
      </c>
      <c r="V169" s="8">
        <f xml:space="preserve"> C176*15</f>
        <v>0</v>
      </c>
    </row>
    <row r="170" spans="1:23" ht="15" customHeight="1" x14ac:dyDescent="0.25">
      <c r="A170" s="236"/>
      <c r="B170" s="20" t="s">
        <v>200</v>
      </c>
      <c r="C170" s="19"/>
      <c r="D170" s="17"/>
      <c r="E170" s="16"/>
      <c r="F170" s="18"/>
      <c r="G170" s="18"/>
      <c r="H170" s="37" t="str">
        <f>IFERROR(VLOOKUP(F170,'Product Spec'!B:D,2,FALSE)," ")</f>
        <v xml:space="preserve"> </v>
      </c>
      <c r="I170" s="37" t="str">
        <f t="shared" ref="I170:I174" si="52">IFERROR(C170*H170*P170*MIN(1,2.4/E170)," ")</f>
        <v xml:space="preserve"> </v>
      </c>
      <c r="J170" s="37" t="str">
        <f>IFERROR(VLOOKUP(F170,'Product Spec'!B:D,3,FALSE)," ")</f>
        <v xml:space="preserve"> </v>
      </c>
      <c r="K170" s="43" t="str">
        <f t="shared" ref="K170:K174" si="53">IFERROR(C170*J170*P170*MIN(1,2.4/E170)," ")</f>
        <v xml:space="preserve"> </v>
      </c>
      <c r="L170"/>
      <c r="M170"/>
      <c r="N170"/>
      <c r="O170"/>
      <c r="P170" s="8">
        <f t="shared" ref="P170:P174" si="54">IF(OR(D170=30,D170=45,D170=60),Q170,COS(R170))</f>
        <v>1</v>
      </c>
      <c r="Q170" s="8" t="e" cm="1">
        <f t="array" ref="Q170">_xlfn.IFS(D170=30,0.87,D170=45,0.7,D170=60,0.5)</f>
        <v>#N/A</v>
      </c>
      <c r="R170" s="8">
        <f t="shared" ref="R170:R174" si="55">(PI()/180)*D170</f>
        <v>0</v>
      </c>
      <c r="S170" s="8" t="e">
        <f>J175/J176</f>
        <v>#VALUE!</v>
      </c>
    </row>
    <row r="171" spans="1:23" ht="15" customHeight="1" x14ac:dyDescent="0.25">
      <c r="A171" s="236"/>
      <c r="B171" s="20" t="s">
        <v>201</v>
      </c>
      <c r="C171" s="19"/>
      <c r="D171" s="17"/>
      <c r="E171" s="16"/>
      <c r="F171" s="18"/>
      <c r="G171" s="18"/>
      <c r="H171" s="37" t="str">
        <f>IFERROR(VLOOKUP(F171,'Product Spec'!B:D,2,FALSE)," ")</f>
        <v xml:space="preserve"> </v>
      </c>
      <c r="I171" s="37" t="str">
        <f t="shared" si="52"/>
        <v xml:space="preserve"> </v>
      </c>
      <c r="J171" s="37" t="str">
        <f>IFERROR(VLOOKUP(F171,'Product Spec'!B:D,3,FALSE)," ")</f>
        <v xml:space="preserve"> </v>
      </c>
      <c r="K171" s="43" t="str">
        <f t="shared" si="53"/>
        <v xml:space="preserve"> </v>
      </c>
      <c r="L171"/>
      <c r="M171"/>
      <c r="N171"/>
      <c r="O171"/>
      <c r="P171" s="8">
        <f t="shared" si="54"/>
        <v>1</v>
      </c>
      <c r="Q171" s="8" t="e" cm="1">
        <f t="array" ref="Q171">_xlfn.IFS(D171=30,0.87,D171=45,0.7,D171=60,0.5)</f>
        <v>#N/A</v>
      </c>
      <c r="R171" s="8">
        <f t="shared" si="55"/>
        <v>0</v>
      </c>
    </row>
    <row r="172" spans="1:23" ht="15" customHeight="1" x14ac:dyDescent="0.25">
      <c r="A172" s="236"/>
      <c r="B172" s="20" t="s">
        <v>202</v>
      </c>
      <c r="C172" s="19"/>
      <c r="D172" s="17"/>
      <c r="E172" s="16"/>
      <c r="F172" s="18"/>
      <c r="G172" s="18"/>
      <c r="H172" s="37" t="str">
        <f>IFERROR(VLOOKUP(F172,'Product Spec'!B:D,2,FALSE)," ")</f>
        <v xml:space="preserve"> </v>
      </c>
      <c r="I172" s="37" t="str">
        <f t="shared" si="52"/>
        <v xml:space="preserve"> </v>
      </c>
      <c r="J172" s="37" t="str">
        <f>IFERROR(VLOOKUP(F172,'Product Spec'!B:D,3,FALSE)," ")</f>
        <v xml:space="preserve"> </v>
      </c>
      <c r="K172" s="43" t="str">
        <f t="shared" si="53"/>
        <v xml:space="preserve"> </v>
      </c>
      <c r="L172"/>
      <c r="M172"/>
      <c r="N172"/>
      <c r="O172"/>
      <c r="P172" s="8">
        <f t="shared" si="54"/>
        <v>1</v>
      </c>
      <c r="Q172" s="8" t="e" cm="1">
        <f t="array" ref="Q172">_xlfn.IFS(D172=30,0.87,D172=45,0.7,D172=60,0.5)</f>
        <v>#N/A</v>
      </c>
      <c r="R172" s="8">
        <f t="shared" si="55"/>
        <v>0</v>
      </c>
    </row>
    <row r="173" spans="1:23" ht="15" customHeight="1" x14ac:dyDescent="0.25">
      <c r="A173" s="236"/>
      <c r="B173" s="20" t="s">
        <v>203</v>
      </c>
      <c r="C173" s="19"/>
      <c r="D173" s="17"/>
      <c r="E173" s="16"/>
      <c r="F173" s="18"/>
      <c r="G173" s="18"/>
      <c r="H173" s="37" t="str">
        <f>IFERROR(VLOOKUP(F173,'Product Spec'!B:D,2,FALSE)," ")</f>
        <v xml:space="preserve"> </v>
      </c>
      <c r="I173" s="37" t="str">
        <f t="shared" si="52"/>
        <v xml:space="preserve"> </v>
      </c>
      <c r="J173" s="37" t="str">
        <f>IFERROR(VLOOKUP(F173,'Product Spec'!B:D,3,FALSE)," ")</f>
        <v xml:space="preserve"> </v>
      </c>
      <c r="K173" s="43" t="str">
        <f t="shared" si="53"/>
        <v xml:space="preserve"> </v>
      </c>
      <c r="L173"/>
      <c r="M173"/>
      <c r="N173"/>
      <c r="O173"/>
      <c r="P173" s="8">
        <f t="shared" si="54"/>
        <v>1</v>
      </c>
      <c r="Q173" s="8" t="e" cm="1">
        <f t="array" ref="Q173">_xlfn.IFS(D173=30,0.87,D173=45,0.7,D173=60,0.5)</f>
        <v>#N/A</v>
      </c>
      <c r="R173" s="8">
        <f t="shared" si="55"/>
        <v>0</v>
      </c>
    </row>
    <row r="174" spans="1:23" ht="15" customHeight="1" x14ac:dyDescent="0.25">
      <c r="A174" s="236"/>
      <c r="B174" s="20" t="s">
        <v>204</v>
      </c>
      <c r="C174" s="19"/>
      <c r="D174" s="17"/>
      <c r="E174" s="16"/>
      <c r="F174" s="18"/>
      <c r="G174" s="18"/>
      <c r="H174" s="37" t="str">
        <f>IFERROR(VLOOKUP(F174,'Product Spec'!B:D,2,FALSE)," ")</f>
        <v xml:space="preserve"> </v>
      </c>
      <c r="I174" s="37" t="str">
        <f t="shared" si="52"/>
        <v xml:space="preserve"> </v>
      </c>
      <c r="J174" s="37" t="str">
        <f>IFERROR(VLOOKUP(F174,'Product Spec'!B:D,3,FALSE)," ")</f>
        <v xml:space="preserve"> </v>
      </c>
      <c r="K174" s="43" t="str">
        <f t="shared" si="53"/>
        <v xml:space="preserve"> </v>
      </c>
      <c r="L174"/>
      <c r="M174"/>
      <c r="N174"/>
      <c r="O174"/>
      <c r="P174" s="8">
        <f t="shared" si="54"/>
        <v>1</v>
      </c>
      <c r="Q174" s="8" t="e" cm="1">
        <f t="array" ref="Q174">_xlfn.IFS(D174=30,0.87,D174=45,0.7,D174=60,0.5)</f>
        <v>#N/A</v>
      </c>
      <c r="R174" s="8">
        <f t="shared" si="55"/>
        <v>0</v>
      </c>
    </row>
    <row r="175" spans="1:23" ht="15" customHeight="1" x14ac:dyDescent="0.25">
      <c r="A175" s="236"/>
      <c r="B175" s="98" t="s">
        <v>170</v>
      </c>
      <c r="C175" s="99"/>
      <c r="D175" s="99"/>
      <c r="E175" s="99"/>
      <c r="F175" s="99"/>
      <c r="G175" s="100"/>
      <c r="H175" s="147" cm="1">
        <f t="array" ref="H175">IF(D130&lt;4,0,SUM(IFERROR(I169:I174,0)))</f>
        <v>0</v>
      </c>
      <c r="I175" s="148"/>
      <c r="J175" s="147" cm="1">
        <f t="array" ref="J175">IF(D130&lt;4,0,SUM(IFERROR(K169:K174,0)))</f>
        <v>0</v>
      </c>
      <c r="K175" s="149"/>
      <c r="L175"/>
      <c r="M175"/>
      <c r="N175"/>
      <c r="O175"/>
    </row>
    <row r="176" spans="1:23" ht="15" customHeight="1" x14ac:dyDescent="0.25">
      <c r="A176" s="44" t="s">
        <v>168</v>
      </c>
      <c r="B176" s="160"/>
      <c r="C176" s="161"/>
      <c r="D176" s="99" t="s">
        <v>166</v>
      </c>
      <c r="E176" s="99"/>
      <c r="F176" s="99"/>
      <c r="G176" s="100"/>
      <c r="H176" s="150" t="e">
        <f>MAX(100,(0.5*$D$125)/$D$130,V169)</f>
        <v>#VALUE!</v>
      </c>
      <c r="I176" s="151"/>
      <c r="J176" s="150" t="e">
        <f>MAX(100,(0.5*$I$125)/$D$130,V169)</f>
        <v>#VALUE!</v>
      </c>
      <c r="K176" s="152"/>
      <c r="L176"/>
      <c r="M176"/>
      <c r="N176"/>
      <c r="O176"/>
    </row>
    <row r="177" spans="1:23" ht="15" customHeight="1" x14ac:dyDescent="0.25">
      <c r="A177" s="153" t="e">
        <f>IF(OR(S169&lt;1,S170&lt;1),"Warning: Doesn’t meet the minimum BU's requirement per line."," ")</f>
        <v>#VALUE!</v>
      </c>
      <c r="B177" s="154"/>
      <c r="C177" s="154"/>
      <c r="D177" s="154"/>
      <c r="E177" s="154"/>
      <c r="F177" s="154"/>
      <c r="G177" s="154"/>
      <c r="H177" s="154"/>
      <c r="I177" s="154"/>
      <c r="J177" s="154"/>
      <c r="K177" s="155"/>
      <c r="L177"/>
      <c r="M177"/>
      <c r="N177"/>
      <c r="O177"/>
      <c r="P177"/>
      <c r="Q177"/>
      <c r="R177"/>
      <c r="S177"/>
      <c r="T177"/>
      <c r="U177"/>
      <c r="V177"/>
      <c r="W177"/>
    </row>
    <row r="178" spans="1:23" ht="15" customHeight="1" x14ac:dyDescent="0.25">
      <c r="A178" s="156"/>
      <c r="B178" s="157"/>
      <c r="C178" s="157"/>
      <c r="D178" s="157"/>
      <c r="E178" s="157"/>
      <c r="F178" s="157"/>
      <c r="G178" s="157"/>
      <c r="H178" s="157"/>
      <c r="I178" s="157"/>
      <c r="J178" s="157"/>
      <c r="K178" s="158"/>
      <c r="L178"/>
      <c r="M178"/>
      <c r="N178"/>
      <c r="O178"/>
      <c r="P178"/>
      <c r="Q178"/>
      <c r="R178"/>
      <c r="S178"/>
      <c r="T178"/>
      <c r="U178"/>
      <c r="V178"/>
    </row>
    <row r="179" spans="1:23" ht="15" customHeight="1" x14ac:dyDescent="0.25">
      <c r="A179" s="42" t="s">
        <v>83</v>
      </c>
      <c r="B179" s="33" t="s">
        <v>198</v>
      </c>
      <c r="C179" s="34" t="s">
        <v>86</v>
      </c>
      <c r="D179" s="33" t="s">
        <v>87</v>
      </c>
      <c r="E179" s="33" t="s">
        <v>111</v>
      </c>
      <c r="F179" s="33" t="s">
        <v>84</v>
      </c>
      <c r="G179" s="33" t="s">
        <v>85</v>
      </c>
      <c r="H179" s="24" t="s">
        <v>165</v>
      </c>
      <c r="I179" s="24" t="s">
        <v>169</v>
      </c>
      <c r="J179" s="24" t="s">
        <v>165</v>
      </c>
      <c r="K179" s="41" t="s">
        <v>169</v>
      </c>
      <c r="L179"/>
      <c r="M179"/>
      <c r="N179"/>
      <c r="O179"/>
      <c r="V179" s="8" t="s">
        <v>164</v>
      </c>
    </row>
    <row r="180" spans="1:23" ht="15" customHeight="1" x14ac:dyDescent="0.25">
      <c r="A180" s="236" t="s">
        <v>189</v>
      </c>
      <c r="B180" s="20" t="s">
        <v>199</v>
      </c>
      <c r="C180" s="19"/>
      <c r="D180" s="17"/>
      <c r="E180" s="16"/>
      <c r="F180" s="18"/>
      <c r="G180" s="18" t="s">
        <v>134</v>
      </c>
      <c r="H180" s="37" t="str">
        <f>IFERROR(VLOOKUP(F180,'Product Spec'!B:D,2,FALSE)," ")</f>
        <v xml:space="preserve"> </v>
      </c>
      <c r="I180" s="37" t="str">
        <f>IFERROR(C180*H180*P180*MIN(1,2.4/E180)," ")</f>
        <v xml:space="preserve"> </v>
      </c>
      <c r="J180" s="37" t="str">
        <f>IFERROR(VLOOKUP(F180,'Product Spec'!B:D,3,FALSE)," ")</f>
        <v xml:space="preserve"> </v>
      </c>
      <c r="K180" s="43" t="str">
        <f>IFERROR(C180*J180*P180*MIN(1,2.4/E180)," ")</f>
        <v xml:space="preserve"> </v>
      </c>
      <c r="L180"/>
      <c r="M180"/>
      <c r="N180"/>
      <c r="O180"/>
      <c r="P180" s="8">
        <f>IF(OR(D180=30,D180=45,D180=60),Q180,COS(R180))</f>
        <v>1</v>
      </c>
      <c r="Q180" s="8" t="e" cm="1">
        <f t="array" ref="Q180">_xlfn.IFS(D180=30,0.87,D180=45,0.7,D180=60,0.5)</f>
        <v>#N/A</v>
      </c>
      <c r="R180" s="8">
        <f>(PI()/180)*D180</f>
        <v>0</v>
      </c>
      <c r="S180" s="8" t="e">
        <f>H186/H187</f>
        <v>#VALUE!</v>
      </c>
      <c r="V180" s="8">
        <f xml:space="preserve"> C187*15</f>
        <v>0</v>
      </c>
    </row>
    <row r="181" spans="1:23" ht="15" customHeight="1" x14ac:dyDescent="0.25">
      <c r="A181" s="236"/>
      <c r="B181" s="20" t="s">
        <v>200</v>
      </c>
      <c r="C181" s="19"/>
      <c r="D181" s="17"/>
      <c r="E181" s="16"/>
      <c r="F181" s="18"/>
      <c r="G181" s="18"/>
      <c r="H181" s="37" t="str">
        <f>IFERROR(VLOOKUP(F181,'Product Spec'!B:D,2,FALSE)," ")</f>
        <v xml:space="preserve"> </v>
      </c>
      <c r="I181" s="37" t="str">
        <f t="shared" ref="I181:I185" si="56">IFERROR(C181*H181*P181*MIN(1,2.4/E181)," ")</f>
        <v xml:space="preserve"> </v>
      </c>
      <c r="J181" s="37" t="str">
        <f>IFERROR(VLOOKUP(F181,'Product Spec'!B:D,3,FALSE)," ")</f>
        <v xml:space="preserve"> </v>
      </c>
      <c r="K181" s="43" t="str">
        <f t="shared" ref="K181:K185" si="57">IFERROR(C181*J181*P181*MIN(1,2.4/E181)," ")</f>
        <v xml:space="preserve"> </v>
      </c>
      <c r="L181"/>
      <c r="M181"/>
      <c r="N181"/>
      <c r="O181"/>
      <c r="P181" s="8">
        <f t="shared" ref="P181:P185" si="58">IF(OR(D181=30,D181=45,D181=60),Q181,COS(R181))</f>
        <v>1</v>
      </c>
      <c r="Q181" s="8" t="e" cm="1">
        <f t="array" ref="Q181">_xlfn.IFS(D181=30,0.87,D181=45,0.7,D181=60,0.5)</f>
        <v>#N/A</v>
      </c>
      <c r="R181" s="8">
        <f t="shared" ref="R181:R185" si="59">(PI()/180)*D181</f>
        <v>0</v>
      </c>
      <c r="S181" s="8" t="e">
        <f>J186/J187</f>
        <v>#VALUE!</v>
      </c>
    </row>
    <row r="182" spans="1:23" ht="15" customHeight="1" x14ac:dyDescent="0.25">
      <c r="A182" s="236"/>
      <c r="B182" s="20" t="s">
        <v>201</v>
      </c>
      <c r="C182" s="19"/>
      <c r="D182" s="17"/>
      <c r="E182" s="16"/>
      <c r="F182" s="18"/>
      <c r="G182" s="18"/>
      <c r="H182" s="37" t="str">
        <f>IFERROR(VLOOKUP(F182,'Product Spec'!B:D,2,FALSE)," ")</f>
        <v xml:space="preserve"> </v>
      </c>
      <c r="I182" s="37" t="str">
        <f t="shared" si="56"/>
        <v xml:space="preserve"> </v>
      </c>
      <c r="J182" s="37" t="str">
        <f>IFERROR(VLOOKUP(F182,'Product Spec'!B:D,3,FALSE)," ")</f>
        <v xml:space="preserve"> </v>
      </c>
      <c r="K182" s="43" t="str">
        <f t="shared" si="57"/>
        <v xml:space="preserve"> </v>
      </c>
      <c r="L182"/>
      <c r="M182"/>
      <c r="N182"/>
      <c r="O182"/>
      <c r="P182" s="8">
        <f t="shared" si="58"/>
        <v>1</v>
      </c>
      <c r="Q182" s="8" t="e" cm="1">
        <f t="array" ref="Q182">_xlfn.IFS(D182=30,0.87,D182=45,0.7,D182=60,0.5)</f>
        <v>#N/A</v>
      </c>
      <c r="R182" s="8">
        <f t="shared" si="59"/>
        <v>0</v>
      </c>
    </row>
    <row r="183" spans="1:23" ht="15" customHeight="1" x14ac:dyDescent="0.25">
      <c r="A183" s="236"/>
      <c r="B183" s="20" t="s">
        <v>202</v>
      </c>
      <c r="C183" s="19"/>
      <c r="D183" s="17"/>
      <c r="E183" s="16"/>
      <c r="F183" s="18"/>
      <c r="G183" s="18"/>
      <c r="H183" s="37" t="str">
        <f>IFERROR(VLOOKUP(F183,'Product Spec'!B:D,2,FALSE)," ")</f>
        <v xml:space="preserve"> </v>
      </c>
      <c r="I183" s="37" t="str">
        <f t="shared" si="56"/>
        <v xml:space="preserve"> </v>
      </c>
      <c r="J183" s="37" t="str">
        <f>IFERROR(VLOOKUP(F183,'Product Spec'!B:D,3,FALSE)," ")</f>
        <v xml:space="preserve"> </v>
      </c>
      <c r="K183" s="43" t="str">
        <f t="shared" si="57"/>
        <v xml:space="preserve"> </v>
      </c>
      <c r="L183"/>
      <c r="M183"/>
      <c r="N183"/>
      <c r="O183"/>
      <c r="P183" s="8">
        <f t="shared" si="58"/>
        <v>1</v>
      </c>
      <c r="Q183" s="8" t="e" cm="1">
        <f t="array" ref="Q183">_xlfn.IFS(D183=30,0.87,D183=45,0.7,D183=60,0.5)</f>
        <v>#N/A</v>
      </c>
      <c r="R183" s="8">
        <f t="shared" si="59"/>
        <v>0</v>
      </c>
    </row>
    <row r="184" spans="1:23" ht="15" customHeight="1" x14ac:dyDescent="0.25">
      <c r="A184" s="236"/>
      <c r="B184" s="20" t="s">
        <v>203</v>
      </c>
      <c r="C184" s="19"/>
      <c r="D184" s="17"/>
      <c r="E184" s="16"/>
      <c r="F184" s="18"/>
      <c r="G184" s="18"/>
      <c r="H184" s="37" t="str">
        <f>IFERROR(VLOOKUP(F184,'Product Spec'!B:D,2,FALSE)," ")</f>
        <v xml:space="preserve"> </v>
      </c>
      <c r="I184" s="37" t="str">
        <f t="shared" si="56"/>
        <v xml:space="preserve"> </v>
      </c>
      <c r="J184" s="37" t="str">
        <f>IFERROR(VLOOKUP(F184,'Product Spec'!B:D,3,FALSE)," ")</f>
        <v xml:space="preserve"> </v>
      </c>
      <c r="K184" s="43" t="str">
        <f t="shared" si="57"/>
        <v xml:space="preserve"> </v>
      </c>
      <c r="L184"/>
      <c r="M184"/>
      <c r="N184"/>
      <c r="O184"/>
      <c r="P184" s="8">
        <f t="shared" si="58"/>
        <v>1</v>
      </c>
      <c r="Q184" s="8" t="e" cm="1">
        <f t="array" ref="Q184">_xlfn.IFS(D184=30,0.87,D184=45,0.7,D184=60,0.5)</f>
        <v>#N/A</v>
      </c>
      <c r="R184" s="8">
        <f t="shared" si="59"/>
        <v>0</v>
      </c>
    </row>
    <row r="185" spans="1:23" ht="15" customHeight="1" x14ac:dyDescent="0.25">
      <c r="A185" s="236"/>
      <c r="B185" s="20" t="s">
        <v>204</v>
      </c>
      <c r="C185" s="19"/>
      <c r="D185" s="17"/>
      <c r="E185" s="16"/>
      <c r="F185" s="18"/>
      <c r="G185" s="18"/>
      <c r="H185" s="37" t="str">
        <f>IFERROR(VLOOKUP(F185,'Product Spec'!B:D,2,FALSE)," ")</f>
        <v xml:space="preserve"> </v>
      </c>
      <c r="I185" s="37" t="str">
        <f t="shared" si="56"/>
        <v xml:space="preserve"> </v>
      </c>
      <c r="J185" s="37" t="str">
        <f>IFERROR(VLOOKUP(F185,'Product Spec'!B:D,3,FALSE)," ")</f>
        <v xml:space="preserve"> </v>
      </c>
      <c r="K185" s="43" t="str">
        <f t="shared" si="57"/>
        <v xml:space="preserve"> </v>
      </c>
      <c r="L185"/>
      <c r="M185"/>
      <c r="N185"/>
      <c r="O185"/>
      <c r="P185" s="8">
        <f t="shared" si="58"/>
        <v>1</v>
      </c>
      <c r="Q185" s="8" t="e" cm="1">
        <f t="array" ref="Q185">_xlfn.IFS(D185=30,0.87,D185=45,0.7,D185=60,0.5)</f>
        <v>#N/A</v>
      </c>
      <c r="R185" s="8">
        <f t="shared" si="59"/>
        <v>0</v>
      </c>
    </row>
    <row r="186" spans="1:23" ht="15" customHeight="1" x14ac:dyDescent="0.25">
      <c r="A186" s="236"/>
      <c r="B186" s="98" t="s">
        <v>170</v>
      </c>
      <c r="C186" s="99"/>
      <c r="D186" s="99"/>
      <c r="E186" s="99"/>
      <c r="F186" s="99"/>
      <c r="G186" s="100"/>
      <c r="H186" s="147" cm="1">
        <f t="array" ref="H186">IF(D130&lt;5,0,SUM(IFERROR(I180:I185,0)))</f>
        <v>0</v>
      </c>
      <c r="I186" s="148"/>
      <c r="J186" s="147" cm="1">
        <f t="array" ref="J186">IF(D130&lt;5,0,SUM(IFERROR(K180:K185,0)))</f>
        <v>0</v>
      </c>
      <c r="K186" s="149"/>
      <c r="L186"/>
      <c r="M186"/>
      <c r="N186"/>
      <c r="O186"/>
    </row>
    <row r="187" spans="1:23" ht="15" customHeight="1" x14ac:dyDescent="0.25">
      <c r="A187" s="44" t="s">
        <v>168</v>
      </c>
      <c r="B187" s="160"/>
      <c r="C187" s="161"/>
      <c r="D187" s="99" t="s">
        <v>166</v>
      </c>
      <c r="E187" s="99"/>
      <c r="F187" s="99"/>
      <c r="G187" s="100"/>
      <c r="H187" s="150" t="e">
        <f>MAX(100,(0.5*$D$125)/$D$130,V180)</f>
        <v>#VALUE!</v>
      </c>
      <c r="I187" s="151"/>
      <c r="J187" s="150" t="e">
        <f>MAX(100,(0.5*$I$125)/$D$130,V180)</f>
        <v>#VALUE!</v>
      </c>
      <c r="K187" s="152"/>
      <c r="L187"/>
      <c r="M187"/>
      <c r="N187"/>
      <c r="O187"/>
    </row>
    <row r="188" spans="1:23" ht="15" customHeight="1" x14ac:dyDescent="0.25">
      <c r="A188" s="153" t="e">
        <f>IF(OR(S180&lt;1,S181&lt;1),"Warning: Doesn’t meet the minimum BU's requirement per line."," ")</f>
        <v>#VALUE!</v>
      </c>
      <c r="B188" s="154"/>
      <c r="C188" s="154"/>
      <c r="D188" s="154"/>
      <c r="E188" s="154"/>
      <c r="F188" s="154"/>
      <c r="G188" s="154"/>
      <c r="H188" s="154"/>
      <c r="I188" s="154"/>
      <c r="J188" s="154"/>
      <c r="K188" s="155"/>
      <c r="L188"/>
      <c r="M188"/>
      <c r="N188"/>
      <c r="O188"/>
      <c r="P188"/>
      <c r="Q188"/>
      <c r="R188"/>
      <c r="S188"/>
      <c r="T188"/>
      <c r="U188"/>
      <c r="V188"/>
      <c r="W188"/>
    </row>
    <row r="189" spans="1:23" ht="15" customHeight="1" x14ac:dyDescent="0.25">
      <c r="A189" s="156"/>
      <c r="B189" s="157"/>
      <c r="C189" s="157"/>
      <c r="D189" s="157"/>
      <c r="E189" s="157"/>
      <c r="F189" s="157"/>
      <c r="G189" s="157"/>
      <c r="H189" s="157"/>
      <c r="I189" s="157"/>
      <c r="J189" s="157"/>
      <c r="K189" s="158"/>
      <c r="L189"/>
      <c r="M189"/>
      <c r="N189"/>
      <c r="O189"/>
      <c r="P189"/>
      <c r="Q189"/>
      <c r="R189"/>
      <c r="S189"/>
      <c r="T189"/>
      <c r="U189"/>
      <c r="V189"/>
    </row>
    <row r="190" spans="1:23" ht="15" customHeight="1" x14ac:dyDescent="0.25">
      <c r="A190" s="42" t="s">
        <v>83</v>
      </c>
      <c r="B190" s="33" t="s">
        <v>198</v>
      </c>
      <c r="C190" s="34" t="s">
        <v>86</v>
      </c>
      <c r="D190" s="33" t="s">
        <v>87</v>
      </c>
      <c r="E190" s="33" t="s">
        <v>111</v>
      </c>
      <c r="F190" s="33" t="s">
        <v>84</v>
      </c>
      <c r="G190" s="33" t="s">
        <v>85</v>
      </c>
      <c r="H190" s="24" t="s">
        <v>165</v>
      </c>
      <c r="I190" s="24" t="s">
        <v>169</v>
      </c>
      <c r="J190" s="24" t="s">
        <v>165</v>
      </c>
      <c r="K190" s="41" t="s">
        <v>169</v>
      </c>
      <c r="L190"/>
      <c r="M190"/>
      <c r="N190"/>
      <c r="O190"/>
      <c r="V190" s="8" t="s">
        <v>164</v>
      </c>
    </row>
    <row r="191" spans="1:23" ht="15" customHeight="1" x14ac:dyDescent="0.25">
      <c r="A191" s="236" t="s">
        <v>190</v>
      </c>
      <c r="B191" s="20" t="s">
        <v>199</v>
      </c>
      <c r="C191" s="19"/>
      <c r="D191" s="17"/>
      <c r="E191" s="16"/>
      <c r="F191" s="18"/>
      <c r="G191" s="18" t="s">
        <v>134</v>
      </c>
      <c r="H191" s="37" t="str">
        <f>IFERROR(VLOOKUP(F191,'Product Spec'!B:D,2,FALSE)," ")</f>
        <v xml:space="preserve"> </v>
      </c>
      <c r="I191" s="37" t="str">
        <f>IFERROR(C191*H191*P191*MIN(1,2.4/E191)," ")</f>
        <v xml:space="preserve"> </v>
      </c>
      <c r="J191" s="37" t="str">
        <f>IFERROR(VLOOKUP(F191,'Product Spec'!B:D,3,FALSE)," ")</f>
        <v xml:space="preserve"> </v>
      </c>
      <c r="K191" s="43" t="str">
        <f>IFERROR(C191*J191*P191*MIN(1,2.4/E191)," ")</f>
        <v xml:space="preserve"> </v>
      </c>
      <c r="L191"/>
      <c r="M191"/>
      <c r="N191"/>
      <c r="O191"/>
      <c r="P191" s="8">
        <f>IF(OR(D191=30,D191=45,D191=60),Q191,COS(R191))</f>
        <v>1</v>
      </c>
      <c r="Q191" s="8" t="e" cm="1">
        <f t="array" ref="Q191">_xlfn.IFS(D191=30,0.87,D191=45,0.7,D191=60,0.5)</f>
        <v>#N/A</v>
      </c>
      <c r="R191" s="8">
        <f>(PI()/180)*D191</f>
        <v>0</v>
      </c>
      <c r="S191" s="8" t="e">
        <f>H197/H198</f>
        <v>#VALUE!</v>
      </c>
      <c r="V191" s="8">
        <f xml:space="preserve"> C198*15</f>
        <v>0</v>
      </c>
    </row>
    <row r="192" spans="1:23" ht="15" customHeight="1" x14ac:dyDescent="0.25">
      <c r="A192" s="236"/>
      <c r="B192" s="20" t="s">
        <v>200</v>
      </c>
      <c r="C192" s="19"/>
      <c r="D192" s="17"/>
      <c r="E192" s="16"/>
      <c r="F192" s="18"/>
      <c r="G192" s="18"/>
      <c r="H192" s="37" t="str">
        <f>IFERROR(VLOOKUP(F192,'Product Spec'!B:D,2,FALSE)," ")</f>
        <v xml:space="preserve"> </v>
      </c>
      <c r="I192" s="37" t="str">
        <f t="shared" ref="I192:I196" si="60">IFERROR(C192*H192*P192*MIN(1,2.4/E192)," ")</f>
        <v xml:space="preserve"> </v>
      </c>
      <c r="J192" s="37" t="str">
        <f>IFERROR(VLOOKUP(F192,'Product Spec'!B:D,3,FALSE)," ")</f>
        <v xml:space="preserve"> </v>
      </c>
      <c r="K192" s="43" t="str">
        <f t="shared" ref="K192:K196" si="61">IFERROR(C192*J192*P192*MIN(1,2.4/E192)," ")</f>
        <v xml:space="preserve"> </v>
      </c>
      <c r="L192"/>
      <c r="M192"/>
      <c r="N192"/>
      <c r="O192"/>
      <c r="P192" s="8">
        <f t="shared" ref="P192:P196" si="62">IF(OR(D192=30,D192=45,D192=60),Q192,COS(R192))</f>
        <v>1</v>
      </c>
      <c r="Q192" s="8" t="e" cm="1">
        <f t="array" ref="Q192">_xlfn.IFS(D192=30,0.87,D192=45,0.7,D192=60,0.5)</f>
        <v>#N/A</v>
      </c>
      <c r="R192" s="8">
        <f t="shared" ref="R192:R196" si="63">(PI()/180)*D192</f>
        <v>0</v>
      </c>
      <c r="S192" s="8" t="e">
        <f>J197/J198</f>
        <v>#VALUE!</v>
      </c>
    </row>
    <row r="193" spans="1:23" ht="15" customHeight="1" x14ac:dyDescent="0.25">
      <c r="A193" s="236"/>
      <c r="B193" s="20" t="s">
        <v>201</v>
      </c>
      <c r="C193" s="19"/>
      <c r="D193" s="17"/>
      <c r="E193" s="16"/>
      <c r="F193" s="18"/>
      <c r="G193" s="18"/>
      <c r="H193" s="37" t="str">
        <f>IFERROR(VLOOKUP(F193,'Product Spec'!B:D,2,FALSE)," ")</f>
        <v xml:space="preserve"> </v>
      </c>
      <c r="I193" s="37" t="str">
        <f t="shared" si="60"/>
        <v xml:space="preserve"> </v>
      </c>
      <c r="J193" s="37" t="str">
        <f>IFERROR(VLOOKUP(F193,'Product Spec'!B:D,3,FALSE)," ")</f>
        <v xml:space="preserve"> </v>
      </c>
      <c r="K193" s="43" t="str">
        <f t="shared" si="61"/>
        <v xml:space="preserve"> </v>
      </c>
      <c r="L193"/>
      <c r="M193"/>
      <c r="N193"/>
      <c r="O193"/>
      <c r="P193" s="8">
        <f t="shared" si="62"/>
        <v>1</v>
      </c>
      <c r="Q193" s="8" t="e" cm="1">
        <f t="array" ref="Q193">_xlfn.IFS(D193=30,0.87,D193=45,0.7,D193=60,0.5)</f>
        <v>#N/A</v>
      </c>
      <c r="R193" s="8">
        <f t="shared" si="63"/>
        <v>0</v>
      </c>
    </row>
    <row r="194" spans="1:23" ht="15" customHeight="1" x14ac:dyDescent="0.25">
      <c r="A194" s="236"/>
      <c r="B194" s="20" t="s">
        <v>202</v>
      </c>
      <c r="C194" s="19"/>
      <c r="D194" s="17"/>
      <c r="E194" s="16"/>
      <c r="F194" s="18"/>
      <c r="G194" s="18"/>
      <c r="H194" s="37" t="str">
        <f>IFERROR(VLOOKUP(F194,'Product Spec'!B:D,2,FALSE)," ")</f>
        <v xml:space="preserve"> </v>
      </c>
      <c r="I194" s="37" t="str">
        <f t="shared" si="60"/>
        <v xml:space="preserve"> </v>
      </c>
      <c r="J194" s="37" t="str">
        <f>IFERROR(VLOOKUP(F194,'Product Spec'!B:D,3,FALSE)," ")</f>
        <v xml:space="preserve"> </v>
      </c>
      <c r="K194" s="43" t="str">
        <f t="shared" si="61"/>
        <v xml:space="preserve"> </v>
      </c>
      <c r="L194"/>
      <c r="M194"/>
      <c r="N194"/>
      <c r="O194"/>
      <c r="P194" s="8">
        <f t="shared" si="62"/>
        <v>1</v>
      </c>
      <c r="Q194" s="8" t="e" cm="1">
        <f t="array" ref="Q194">_xlfn.IFS(D194=30,0.87,D194=45,0.7,D194=60,0.5)</f>
        <v>#N/A</v>
      </c>
      <c r="R194" s="8">
        <f t="shared" si="63"/>
        <v>0</v>
      </c>
    </row>
    <row r="195" spans="1:23" ht="15" customHeight="1" x14ac:dyDescent="0.25">
      <c r="A195" s="236"/>
      <c r="B195" s="20" t="s">
        <v>203</v>
      </c>
      <c r="C195" s="19"/>
      <c r="D195" s="17"/>
      <c r="E195" s="16"/>
      <c r="F195" s="18"/>
      <c r="G195" s="18"/>
      <c r="H195" s="37" t="str">
        <f>IFERROR(VLOOKUP(F195,'Product Spec'!B:D,2,FALSE)," ")</f>
        <v xml:space="preserve"> </v>
      </c>
      <c r="I195" s="37" t="str">
        <f t="shared" si="60"/>
        <v xml:space="preserve"> </v>
      </c>
      <c r="J195" s="37" t="str">
        <f>IFERROR(VLOOKUP(F195,'Product Spec'!B:D,3,FALSE)," ")</f>
        <v xml:space="preserve"> </v>
      </c>
      <c r="K195" s="43" t="str">
        <f t="shared" si="61"/>
        <v xml:space="preserve"> </v>
      </c>
      <c r="L195"/>
      <c r="M195"/>
      <c r="N195"/>
      <c r="O195"/>
      <c r="P195" s="8">
        <f t="shared" si="62"/>
        <v>1</v>
      </c>
      <c r="Q195" s="8" t="e" cm="1">
        <f t="array" ref="Q195">_xlfn.IFS(D195=30,0.87,D195=45,0.7,D195=60,0.5)</f>
        <v>#N/A</v>
      </c>
      <c r="R195" s="8">
        <f t="shared" si="63"/>
        <v>0</v>
      </c>
    </row>
    <row r="196" spans="1:23" ht="15" customHeight="1" x14ac:dyDescent="0.25">
      <c r="A196" s="236"/>
      <c r="B196" s="20" t="s">
        <v>204</v>
      </c>
      <c r="C196" s="19"/>
      <c r="D196" s="17"/>
      <c r="E196" s="16"/>
      <c r="F196" s="18"/>
      <c r="G196" s="18"/>
      <c r="H196" s="37" t="str">
        <f>IFERROR(VLOOKUP(F196,'Product Spec'!B:D,2,FALSE)," ")</f>
        <v xml:space="preserve"> </v>
      </c>
      <c r="I196" s="37" t="str">
        <f t="shared" si="60"/>
        <v xml:space="preserve"> </v>
      </c>
      <c r="J196" s="37" t="str">
        <f>IFERROR(VLOOKUP(F196,'Product Spec'!B:D,3,FALSE)," ")</f>
        <v xml:space="preserve"> </v>
      </c>
      <c r="K196" s="43" t="str">
        <f t="shared" si="61"/>
        <v xml:space="preserve"> </v>
      </c>
      <c r="L196"/>
      <c r="M196"/>
      <c r="N196"/>
      <c r="O196"/>
      <c r="P196" s="8">
        <f t="shared" si="62"/>
        <v>1</v>
      </c>
      <c r="Q196" s="8" t="e" cm="1">
        <f t="array" ref="Q196">_xlfn.IFS(D196=30,0.87,D196=45,0.7,D196=60,0.5)</f>
        <v>#N/A</v>
      </c>
      <c r="R196" s="8">
        <f t="shared" si="63"/>
        <v>0</v>
      </c>
    </row>
    <row r="197" spans="1:23" ht="15" customHeight="1" x14ac:dyDescent="0.25">
      <c r="A197" s="236"/>
      <c r="B197" s="98" t="s">
        <v>170</v>
      </c>
      <c r="C197" s="99"/>
      <c r="D197" s="99"/>
      <c r="E197" s="99"/>
      <c r="F197" s="99"/>
      <c r="G197" s="100"/>
      <c r="H197" s="147" cm="1">
        <f t="array" ref="H197">IF(D130&lt;6,0,SUM(IFERROR(I191:I196,0)))</f>
        <v>0</v>
      </c>
      <c r="I197" s="148"/>
      <c r="J197" s="147" cm="1">
        <f t="array" ref="J197">IF(D130&lt;6,0,SUM(IFERROR(K191:K196,0)))</f>
        <v>0</v>
      </c>
      <c r="K197" s="149"/>
      <c r="L197"/>
      <c r="M197"/>
      <c r="N197"/>
      <c r="O197"/>
    </row>
    <row r="198" spans="1:23" ht="15" customHeight="1" x14ac:dyDescent="0.25">
      <c r="A198" s="44" t="s">
        <v>168</v>
      </c>
      <c r="B198" s="160"/>
      <c r="C198" s="161"/>
      <c r="D198" s="99" t="s">
        <v>166</v>
      </c>
      <c r="E198" s="99"/>
      <c r="F198" s="99"/>
      <c r="G198" s="100"/>
      <c r="H198" s="150" t="e">
        <f>MAX(100,(0.5*$D$125)/$D$130,V191)</f>
        <v>#VALUE!</v>
      </c>
      <c r="I198" s="151"/>
      <c r="J198" s="150" t="e">
        <f>MAX(100,(0.5*$I$125)/$D$130,V191)</f>
        <v>#VALUE!</v>
      </c>
      <c r="K198" s="152"/>
      <c r="L198"/>
      <c r="M198"/>
      <c r="N198"/>
      <c r="O198"/>
    </row>
    <row r="199" spans="1:23" ht="15" customHeight="1" x14ac:dyDescent="0.25">
      <c r="A199" s="153" t="e">
        <f>IF(OR(S191&lt;1,S192&lt;1),"Warning: Doesn’t meet the minimum BU's requirement per line."," ")</f>
        <v>#VALUE!</v>
      </c>
      <c r="B199" s="154"/>
      <c r="C199" s="154"/>
      <c r="D199" s="154"/>
      <c r="E199" s="154"/>
      <c r="F199" s="154"/>
      <c r="G199" s="154"/>
      <c r="H199" s="154"/>
      <c r="I199" s="154"/>
      <c r="J199" s="154"/>
      <c r="K199" s="155"/>
      <c r="L199"/>
      <c r="M199"/>
      <c r="N199"/>
      <c r="O199"/>
      <c r="P199"/>
      <c r="Q199"/>
      <c r="R199"/>
      <c r="S199"/>
      <c r="T199"/>
      <c r="U199"/>
      <c r="V199"/>
      <c r="W199"/>
    </row>
    <row r="200" spans="1:23" ht="15" customHeight="1" x14ac:dyDescent="0.25">
      <c r="A200" s="156"/>
      <c r="B200" s="157"/>
      <c r="C200" s="157"/>
      <c r="D200" s="157"/>
      <c r="E200" s="157"/>
      <c r="F200" s="157"/>
      <c r="G200" s="157"/>
      <c r="H200" s="157"/>
      <c r="I200" s="157"/>
      <c r="J200" s="157"/>
      <c r="K200" s="158"/>
      <c r="L200"/>
      <c r="M200"/>
      <c r="N200"/>
      <c r="O200"/>
      <c r="P200"/>
      <c r="Q200"/>
      <c r="R200"/>
      <c r="S200"/>
      <c r="T200"/>
      <c r="U200"/>
      <c r="V200"/>
    </row>
    <row r="201" spans="1:23" ht="15" customHeight="1" x14ac:dyDescent="0.25">
      <c r="A201" s="42" t="s">
        <v>83</v>
      </c>
      <c r="B201" s="33" t="s">
        <v>198</v>
      </c>
      <c r="C201" s="34" t="s">
        <v>86</v>
      </c>
      <c r="D201" s="33" t="s">
        <v>87</v>
      </c>
      <c r="E201" s="33" t="s">
        <v>111</v>
      </c>
      <c r="F201" s="33" t="s">
        <v>84</v>
      </c>
      <c r="G201" s="33" t="s">
        <v>85</v>
      </c>
      <c r="H201" s="24" t="s">
        <v>165</v>
      </c>
      <c r="I201" s="24" t="s">
        <v>169</v>
      </c>
      <c r="J201" s="24" t="s">
        <v>165</v>
      </c>
      <c r="K201" s="41" t="s">
        <v>169</v>
      </c>
      <c r="L201"/>
      <c r="M201"/>
      <c r="N201"/>
      <c r="O201"/>
      <c r="V201" s="8" t="s">
        <v>164</v>
      </c>
    </row>
    <row r="202" spans="1:23" ht="15" customHeight="1" x14ac:dyDescent="0.25">
      <c r="A202" s="236" t="s">
        <v>191</v>
      </c>
      <c r="B202" s="20" t="s">
        <v>199</v>
      </c>
      <c r="C202" s="19"/>
      <c r="D202" s="17"/>
      <c r="E202" s="16"/>
      <c r="F202" s="18"/>
      <c r="G202" s="18" t="s">
        <v>134</v>
      </c>
      <c r="H202" s="37" t="str">
        <f>IFERROR(VLOOKUP(F202,'Product Spec'!B:D,2,FALSE)," ")</f>
        <v xml:space="preserve"> </v>
      </c>
      <c r="I202" s="37" t="str">
        <f>IFERROR(C202*H202*P202*MIN(1,2.4/E202)," ")</f>
        <v xml:space="preserve"> </v>
      </c>
      <c r="J202" s="37" t="str">
        <f>IFERROR(VLOOKUP(F202,'Product Spec'!B:D,3,FALSE)," ")</f>
        <v xml:space="preserve"> </v>
      </c>
      <c r="K202" s="43" t="str">
        <f>IFERROR(C202*J202*P202*MIN(1,2.4/E202)," ")</f>
        <v xml:space="preserve"> </v>
      </c>
      <c r="L202"/>
      <c r="M202"/>
      <c r="N202"/>
      <c r="O202"/>
      <c r="P202" s="8">
        <f>IF(OR(D202=30,D202=45,D202=60),Q202,COS(R202))</f>
        <v>1</v>
      </c>
      <c r="Q202" s="8" t="e" cm="1">
        <f t="array" ref="Q202">_xlfn.IFS(D202=30,0.87,D202=45,0.7,D202=60,0.5)</f>
        <v>#N/A</v>
      </c>
      <c r="R202" s="8">
        <f>(PI()/180)*D202</f>
        <v>0</v>
      </c>
      <c r="S202" s="8" t="e">
        <f>H208/H209</f>
        <v>#VALUE!</v>
      </c>
      <c r="V202" s="8">
        <f xml:space="preserve"> C209*15</f>
        <v>0</v>
      </c>
    </row>
    <row r="203" spans="1:23" ht="15" customHeight="1" x14ac:dyDescent="0.25">
      <c r="A203" s="236"/>
      <c r="B203" s="20" t="s">
        <v>200</v>
      </c>
      <c r="C203" s="19"/>
      <c r="D203" s="17"/>
      <c r="E203" s="16"/>
      <c r="F203" s="18"/>
      <c r="G203" s="18"/>
      <c r="H203" s="37" t="str">
        <f>IFERROR(VLOOKUP(F203,'Product Spec'!B:D,2,FALSE)," ")</f>
        <v xml:space="preserve"> </v>
      </c>
      <c r="I203" s="37" t="str">
        <f t="shared" ref="I203:I207" si="64">IFERROR(C203*H203*P203*MIN(1,2.4/E203)," ")</f>
        <v xml:space="preserve"> </v>
      </c>
      <c r="J203" s="37" t="str">
        <f>IFERROR(VLOOKUP(F203,'Product Spec'!B:D,3,FALSE)," ")</f>
        <v xml:space="preserve"> </v>
      </c>
      <c r="K203" s="43" t="str">
        <f t="shared" ref="K203:K207" si="65">IFERROR(C203*J203*P203*MIN(1,2.4/E203)," ")</f>
        <v xml:space="preserve"> </v>
      </c>
      <c r="L203"/>
      <c r="M203"/>
      <c r="N203"/>
      <c r="O203"/>
      <c r="P203" s="8">
        <f t="shared" ref="P203:P207" si="66">IF(OR(D203=30,D203=45,D203=60),Q203,COS(R203))</f>
        <v>1</v>
      </c>
      <c r="Q203" s="8" t="e" cm="1">
        <f t="array" ref="Q203">_xlfn.IFS(D203=30,0.87,D203=45,0.7,D203=60,0.5)</f>
        <v>#N/A</v>
      </c>
      <c r="R203" s="8">
        <f t="shared" ref="R203:R207" si="67">(PI()/180)*D203</f>
        <v>0</v>
      </c>
      <c r="S203" s="8" t="e">
        <f>J208/J209</f>
        <v>#VALUE!</v>
      </c>
    </row>
    <row r="204" spans="1:23" ht="15" customHeight="1" x14ac:dyDescent="0.25">
      <c r="A204" s="236"/>
      <c r="B204" s="20" t="s">
        <v>201</v>
      </c>
      <c r="C204" s="19"/>
      <c r="D204" s="17"/>
      <c r="E204" s="16"/>
      <c r="F204" s="18"/>
      <c r="G204" s="18"/>
      <c r="H204" s="37" t="str">
        <f>IFERROR(VLOOKUP(F204,'Product Spec'!B:D,2,FALSE)," ")</f>
        <v xml:space="preserve"> </v>
      </c>
      <c r="I204" s="37" t="str">
        <f t="shared" si="64"/>
        <v xml:space="preserve"> </v>
      </c>
      <c r="J204" s="37" t="str">
        <f>IFERROR(VLOOKUP(F204,'Product Spec'!B:D,3,FALSE)," ")</f>
        <v xml:space="preserve"> </v>
      </c>
      <c r="K204" s="43" t="str">
        <f t="shared" si="65"/>
        <v xml:space="preserve"> </v>
      </c>
      <c r="L204"/>
      <c r="M204"/>
      <c r="N204"/>
      <c r="O204"/>
      <c r="P204" s="8">
        <f t="shared" si="66"/>
        <v>1</v>
      </c>
      <c r="Q204" s="8" t="e" cm="1">
        <f t="array" ref="Q204">_xlfn.IFS(D204=30,0.87,D204=45,0.7,D204=60,0.5)</f>
        <v>#N/A</v>
      </c>
      <c r="R204" s="8">
        <f t="shared" si="67"/>
        <v>0</v>
      </c>
    </row>
    <row r="205" spans="1:23" ht="15" customHeight="1" x14ac:dyDescent="0.25">
      <c r="A205" s="236"/>
      <c r="B205" s="20" t="s">
        <v>202</v>
      </c>
      <c r="C205" s="19"/>
      <c r="D205" s="17"/>
      <c r="E205" s="16"/>
      <c r="F205" s="18"/>
      <c r="G205" s="18"/>
      <c r="H205" s="37" t="str">
        <f>IFERROR(VLOOKUP(F205,'Product Spec'!B:D,2,FALSE)," ")</f>
        <v xml:space="preserve"> </v>
      </c>
      <c r="I205" s="37" t="str">
        <f t="shared" si="64"/>
        <v xml:space="preserve"> </v>
      </c>
      <c r="J205" s="37" t="str">
        <f>IFERROR(VLOOKUP(F205,'Product Spec'!B:D,3,FALSE)," ")</f>
        <v xml:space="preserve"> </v>
      </c>
      <c r="K205" s="43" t="str">
        <f t="shared" si="65"/>
        <v xml:space="preserve"> </v>
      </c>
      <c r="L205"/>
      <c r="M205"/>
      <c r="N205"/>
      <c r="O205"/>
      <c r="P205" s="8">
        <f t="shared" si="66"/>
        <v>1</v>
      </c>
      <c r="Q205" s="8" t="e" cm="1">
        <f t="array" ref="Q205">_xlfn.IFS(D205=30,0.87,D205=45,0.7,D205=60,0.5)</f>
        <v>#N/A</v>
      </c>
      <c r="R205" s="8">
        <f t="shared" si="67"/>
        <v>0</v>
      </c>
    </row>
    <row r="206" spans="1:23" ht="15" customHeight="1" x14ac:dyDescent="0.25">
      <c r="A206" s="236"/>
      <c r="B206" s="20" t="s">
        <v>203</v>
      </c>
      <c r="C206" s="19"/>
      <c r="D206" s="17"/>
      <c r="E206" s="16"/>
      <c r="F206" s="18"/>
      <c r="G206" s="18"/>
      <c r="H206" s="37" t="str">
        <f>IFERROR(VLOOKUP(F206,'Product Spec'!B:D,2,FALSE)," ")</f>
        <v xml:space="preserve"> </v>
      </c>
      <c r="I206" s="37" t="str">
        <f t="shared" si="64"/>
        <v xml:space="preserve"> </v>
      </c>
      <c r="J206" s="37" t="str">
        <f>IFERROR(VLOOKUP(F206,'Product Spec'!B:D,3,FALSE)," ")</f>
        <v xml:space="preserve"> </v>
      </c>
      <c r="K206" s="43" t="str">
        <f t="shared" si="65"/>
        <v xml:space="preserve"> </v>
      </c>
      <c r="L206"/>
      <c r="M206"/>
      <c r="N206"/>
      <c r="O206"/>
      <c r="P206" s="8">
        <f t="shared" si="66"/>
        <v>1</v>
      </c>
      <c r="Q206" s="8" t="e" cm="1">
        <f t="array" ref="Q206">_xlfn.IFS(D206=30,0.87,D206=45,0.7,D206=60,0.5)</f>
        <v>#N/A</v>
      </c>
      <c r="R206" s="8">
        <f t="shared" si="67"/>
        <v>0</v>
      </c>
    </row>
    <row r="207" spans="1:23" ht="15" customHeight="1" x14ac:dyDescent="0.25">
      <c r="A207" s="236"/>
      <c r="B207" s="20" t="s">
        <v>204</v>
      </c>
      <c r="C207" s="19"/>
      <c r="D207" s="17"/>
      <c r="E207" s="16"/>
      <c r="F207" s="18"/>
      <c r="G207" s="18"/>
      <c r="H207" s="37" t="str">
        <f>IFERROR(VLOOKUP(F207,'Product Spec'!B:D,2,FALSE)," ")</f>
        <v xml:space="preserve"> </v>
      </c>
      <c r="I207" s="37" t="str">
        <f t="shared" si="64"/>
        <v xml:space="preserve"> </v>
      </c>
      <c r="J207" s="37" t="str">
        <f>IFERROR(VLOOKUP(F207,'Product Spec'!B:D,3,FALSE)," ")</f>
        <v xml:space="preserve"> </v>
      </c>
      <c r="K207" s="43" t="str">
        <f t="shared" si="65"/>
        <v xml:space="preserve"> </v>
      </c>
      <c r="L207"/>
      <c r="M207"/>
      <c r="N207"/>
      <c r="O207"/>
      <c r="P207" s="8">
        <f t="shared" si="66"/>
        <v>1</v>
      </c>
      <c r="Q207" s="8" t="e" cm="1">
        <f t="array" ref="Q207">_xlfn.IFS(D207=30,0.87,D207=45,0.7,D207=60,0.5)</f>
        <v>#N/A</v>
      </c>
      <c r="R207" s="8">
        <f t="shared" si="67"/>
        <v>0</v>
      </c>
    </row>
    <row r="208" spans="1:23" ht="15" customHeight="1" x14ac:dyDescent="0.25">
      <c r="A208" s="236"/>
      <c r="B208" s="98" t="s">
        <v>170</v>
      </c>
      <c r="C208" s="99"/>
      <c r="D208" s="99"/>
      <c r="E208" s="99"/>
      <c r="F208" s="99"/>
      <c r="G208" s="100"/>
      <c r="H208" s="147" cm="1">
        <f t="array" ref="H208">IF(D130&lt;7,0,SUM(IFERROR(I202:I207,0)))</f>
        <v>0</v>
      </c>
      <c r="I208" s="148"/>
      <c r="J208" s="147" cm="1">
        <f t="array" ref="J208">IF(D130&lt;7,0,SUM(IFERROR(K202:K207,0)))</f>
        <v>0</v>
      </c>
      <c r="K208" s="149"/>
      <c r="L208"/>
      <c r="M208"/>
      <c r="N208"/>
      <c r="O208"/>
    </row>
    <row r="209" spans="1:23" ht="15" customHeight="1" x14ac:dyDescent="0.25">
      <c r="A209" s="44" t="s">
        <v>168</v>
      </c>
      <c r="B209" s="160"/>
      <c r="C209" s="161"/>
      <c r="D209" s="99" t="s">
        <v>166</v>
      </c>
      <c r="E209" s="99"/>
      <c r="F209" s="99"/>
      <c r="G209" s="100"/>
      <c r="H209" s="150" t="e">
        <f>MAX(100,(0.5*$D$125)/$D$130,V202)</f>
        <v>#VALUE!</v>
      </c>
      <c r="I209" s="151"/>
      <c r="J209" s="150" t="e">
        <f>MAX(100,(0.5*$I$125)/$D$130,V202)</f>
        <v>#VALUE!</v>
      </c>
      <c r="K209" s="152"/>
      <c r="L209"/>
      <c r="M209"/>
      <c r="N209"/>
      <c r="O209"/>
    </row>
    <row r="210" spans="1:23" ht="15" customHeight="1" x14ac:dyDescent="0.25">
      <c r="A210" s="153" t="e">
        <f>IF(OR(S202&lt;1,S203&lt;1),"Warning: Doesn’t meet the minimum BU's requirement per line."," ")</f>
        <v>#VALUE!</v>
      </c>
      <c r="B210" s="154"/>
      <c r="C210" s="154"/>
      <c r="D210" s="154"/>
      <c r="E210" s="154"/>
      <c r="F210" s="154"/>
      <c r="G210" s="154"/>
      <c r="H210" s="154"/>
      <c r="I210" s="154"/>
      <c r="J210" s="154"/>
      <c r="K210" s="155"/>
      <c r="L210"/>
      <c r="M210"/>
      <c r="N210"/>
      <c r="O210"/>
      <c r="P210"/>
      <c r="Q210"/>
      <c r="R210"/>
      <c r="S210"/>
      <c r="T210"/>
      <c r="U210"/>
      <c r="V210"/>
      <c r="W210"/>
    </row>
    <row r="211" spans="1:23" ht="15" customHeight="1" x14ac:dyDescent="0.25">
      <c r="A211" s="156"/>
      <c r="B211" s="157"/>
      <c r="C211" s="157"/>
      <c r="D211" s="157"/>
      <c r="E211" s="157"/>
      <c r="F211" s="157"/>
      <c r="G211" s="157"/>
      <c r="H211" s="157"/>
      <c r="I211" s="157"/>
      <c r="J211" s="157"/>
      <c r="K211" s="158"/>
      <c r="L211"/>
      <c r="M211"/>
      <c r="N211"/>
      <c r="O211"/>
      <c r="P211"/>
      <c r="Q211"/>
      <c r="R211"/>
      <c r="S211"/>
      <c r="T211"/>
      <c r="U211"/>
      <c r="V211"/>
    </row>
    <row r="212" spans="1:23" ht="15" customHeight="1" x14ac:dyDescent="0.25">
      <c r="A212" s="42" t="s">
        <v>83</v>
      </c>
      <c r="B212" s="33" t="s">
        <v>198</v>
      </c>
      <c r="C212" s="34" t="s">
        <v>86</v>
      </c>
      <c r="D212" s="33" t="s">
        <v>87</v>
      </c>
      <c r="E212" s="33" t="s">
        <v>111</v>
      </c>
      <c r="F212" s="33" t="s">
        <v>84</v>
      </c>
      <c r="G212" s="33" t="s">
        <v>85</v>
      </c>
      <c r="H212" s="24" t="s">
        <v>165</v>
      </c>
      <c r="I212" s="24" t="s">
        <v>169</v>
      </c>
      <c r="J212" s="24" t="s">
        <v>165</v>
      </c>
      <c r="K212" s="41" t="s">
        <v>169</v>
      </c>
      <c r="L212"/>
      <c r="M212"/>
      <c r="N212"/>
      <c r="O212"/>
      <c r="V212" s="8" t="s">
        <v>164</v>
      </c>
    </row>
    <row r="213" spans="1:23" ht="15" customHeight="1" x14ac:dyDescent="0.25">
      <c r="A213" s="236" t="s">
        <v>192</v>
      </c>
      <c r="B213" s="20" t="s">
        <v>199</v>
      </c>
      <c r="C213" s="19">
        <v>2.7</v>
      </c>
      <c r="D213" s="17"/>
      <c r="E213" s="16">
        <v>2.7</v>
      </c>
      <c r="F213" s="18" t="s">
        <v>132</v>
      </c>
      <c r="G213" s="18" t="s">
        <v>134</v>
      </c>
      <c r="H213" s="37">
        <f>IFERROR(VLOOKUP(F213,'Product Spec'!B:D,2,FALSE)," ")</f>
        <v>81</v>
      </c>
      <c r="I213" s="37">
        <f>IFERROR(C213*H213*P213*MIN(1,2.4/E213)," ")</f>
        <v>194.4</v>
      </c>
      <c r="J213" s="37">
        <f>IFERROR(VLOOKUP(F213,'Product Spec'!B:D,3,FALSE)," ")</f>
        <v>94</v>
      </c>
      <c r="K213" s="43">
        <f>IFERROR(C213*J213*P213*MIN(1,2.4/E213)," ")</f>
        <v>225.6</v>
      </c>
      <c r="L213"/>
      <c r="M213"/>
      <c r="N213"/>
      <c r="O213"/>
      <c r="P213" s="8">
        <f>IF(OR(D213=30,D213=45,D213=60),Q213,COS(R213))</f>
        <v>1</v>
      </c>
      <c r="Q213" s="8" t="e" cm="1">
        <f t="array" ref="Q213">_xlfn.IFS(D213=30,0.87,D213=45,0.7,D213=60,0.5)</f>
        <v>#N/A</v>
      </c>
      <c r="R213" s="8">
        <f>(PI()/180)*D213</f>
        <v>0</v>
      </c>
      <c r="S213" s="8" t="e">
        <f>H219/H220</f>
        <v>#VALUE!</v>
      </c>
      <c r="V213" s="8">
        <f xml:space="preserve"> C220*15</f>
        <v>0</v>
      </c>
    </row>
    <row r="214" spans="1:23" ht="15" customHeight="1" x14ac:dyDescent="0.25">
      <c r="A214" s="236"/>
      <c r="B214" s="20" t="s">
        <v>200</v>
      </c>
      <c r="C214" s="19"/>
      <c r="D214" s="17"/>
      <c r="E214" s="16"/>
      <c r="F214" s="18"/>
      <c r="G214" s="18"/>
      <c r="H214" s="37" t="str">
        <f>IFERROR(VLOOKUP(F214,'Product Spec'!B:D,2,FALSE)," ")</f>
        <v xml:space="preserve"> </v>
      </c>
      <c r="I214" s="37" t="str">
        <f t="shared" ref="I214:I218" si="68">IFERROR(C214*H214*P214*MIN(1,2.4/E214)," ")</f>
        <v xml:space="preserve"> </v>
      </c>
      <c r="J214" s="37" t="str">
        <f>IFERROR(VLOOKUP(F214,'Product Spec'!B:D,3,FALSE)," ")</f>
        <v xml:space="preserve"> </v>
      </c>
      <c r="K214" s="43" t="str">
        <f t="shared" ref="K214:K218" si="69">IFERROR(C214*J214*P214*MIN(1,2.4/E214)," ")</f>
        <v xml:space="preserve"> </v>
      </c>
      <c r="L214"/>
      <c r="M214"/>
      <c r="N214"/>
      <c r="O214"/>
      <c r="P214" s="8">
        <f t="shared" ref="P214:P218" si="70">IF(OR(D214=30,D214=45,D214=60),Q214,COS(R214))</f>
        <v>1</v>
      </c>
      <c r="Q214" s="8" t="e" cm="1">
        <f t="array" ref="Q214">_xlfn.IFS(D214=30,0.87,D214=45,0.7,D214=60,0.5)</f>
        <v>#N/A</v>
      </c>
      <c r="R214" s="8">
        <f t="shared" ref="R214:R218" si="71">(PI()/180)*D214</f>
        <v>0</v>
      </c>
      <c r="S214" s="8" t="e">
        <f>J219/J220</f>
        <v>#VALUE!</v>
      </c>
    </row>
    <row r="215" spans="1:23" ht="15" customHeight="1" x14ac:dyDescent="0.25">
      <c r="A215" s="236"/>
      <c r="B215" s="20" t="s">
        <v>201</v>
      </c>
      <c r="C215" s="19"/>
      <c r="D215" s="17"/>
      <c r="E215" s="16"/>
      <c r="F215" s="18"/>
      <c r="G215" s="18"/>
      <c r="H215" s="37" t="str">
        <f>IFERROR(VLOOKUP(F215,'Product Spec'!B:D,2,FALSE)," ")</f>
        <v xml:space="preserve"> </v>
      </c>
      <c r="I215" s="37" t="str">
        <f t="shared" si="68"/>
        <v xml:space="preserve"> </v>
      </c>
      <c r="J215" s="37" t="str">
        <f>IFERROR(VLOOKUP(F215,'Product Spec'!B:D,3,FALSE)," ")</f>
        <v xml:space="preserve"> </v>
      </c>
      <c r="K215" s="43" t="str">
        <f t="shared" si="69"/>
        <v xml:space="preserve"> </v>
      </c>
      <c r="L215"/>
      <c r="M215"/>
      <c r="N215"/>
      <c r="O215"/>
      <c r="P215" s="8">
        <f t="shared" si="70"/>
        <v>1</v>
      </c>
      <c r="Q215" s="8" t="e" cm="1">
        <f t="array" ref="Q215">_xlfn.IFS(D215=30,0.87,D215=45,0.7,D215=60,0.5)</f>
        <v>#N/A</v>
      </c>
      <c r="R215" s="8">
        <f t="shared" si="71"/>
        <v>0</v>
      </c>
    </row>
    <row r="216" spans="1:23" ht="15" customHeight="1" x14ac:dyDescent="0.25">
      <c r="A216" s="236"/>
      <c r="B216" s="20" t="s">
        <v>202</v>
      </c>
      <c r="C216" s="19"/>
      <c r="D216" s="17"/>
      <c r="E216" s="16"/>
      <c r="F216" s="18"/>
      <c r="G216" s="18"/>
      <c r="H216" s="37" t="str">
        <f>IFERROR(VLOOKUP(F216,'Product Spec'!B:D,2,FALSE)," ")</f>
        <v xml:space="preserve"> </v>
      </c>
      <c r="I216" s="37" t="str">
        <f t="shared" si="68"/>
        <v xml:space="preserve"> </v>
      </c>
      <c r="J216" s="37" t="str">
        <f>IFERROR(VLOOKUP(F216,'Product Spec'!B:D,3,FALSE)," ")</f>
        <v xml:space="preserve"> </v>
      </c>
      <c r="K216" s="43" t="str">
        <f t="shared" si="69"/>
        <v xml:space="preserve"> </v>
      </c>
      <c r="L216"/>
      <c r="M216"/>
      <c r="N216"/>
      <c r="O216"/>
      <c r="P216" s="8">
        <f t="shared" si="70"/>
        <v>1</v>
      </c>
      <c r="Q216" s="8" t="e" cm="1">
        <f t="array" ref="Q216">_xlfn.IFS(D216=30,0.87,D216=45,0.7,D216=60,0.5)</f>
        <v>#N/A</v>
      </c>
      <c r="R216" s="8">
        <f t="shared" si="71"/>
        <v>0</v>
      </c>
    </row>
    <row r="217" spans="1:23" ht="15" customHeight="1" x14ac:dyDescent="0.25">
      <c r="A217" s="236"/>
      <c r="B217" s="20" t="s">
        <v>203</v>
      </c>
      <c r="C217" s="19"/>
      <c r="D217" s="17"/>
      <c r="E217" s="16"/>
      <c r="F217" s="18"/>
      <c r="G217" s="18"/>
      <c r="H217" s="37" t="str">
        <f>IFERROR(VLOOKUP(F217,'Product Spec'!B:D,2,FALSE)," ")</f>
        <v xml:space="preserve"> </v>
      </c>
      <c r="I217" s="37" t="str">
        <f t="shared" si="68"/>
        <v xml:space="preserve"> </v>
      </c>
      <c r="J217" s="37" t="str">
        <f>IFERROR(VLOOKUP(F217,'Product Spec'!B:D,3,FALSE)," ")</f>
        <v xml:space="preserve"> </v>
      </c>
      <c r="K217" s="43" t="str">
        <f t="shared" si="69"/>
        <v xml:space="preserve"> </v>
      </c>
      <c r="L217"/>
      <c r="M217"/>
      <c r="N217"/>
      <c r="O217"/>
      <c r="P217" s="8">
        <f t="shared" si="70"/>
        <v>1</v>
      </c>
      <c r="Q217" s="8" t="e" cm="1">
        <f t="array" ref="Q217">_xlfn.IFS(D217=30,0.87,D217=45,0.7,D217=60,0.5)</f>
        <v>#N/A</v>
      </c>
      <c r="R217" s="8">
        <f t="shared" si="71"/>
        <v>0</v>
      </c>
    </row>
    <row r="218" spans="1:23" ht="15" customHeight="1" x14ac:dyDescent="0.25">
      <c r="A218" s="236"/>
      <c r="B218" s="20" t="s">
        <v>204</v>
      </c>
      <c r="C218" s="19"/>
      <c r="D218" s="17"/>
      <c r="E218" s="16"/>
      <c r="F218" s="18"/>
      <c r="G218" s="18"/>
      <c r="H218" s="37" t="str">
        <f>IFERROR(VLOOKUP(F218,'Product Spec'!B:D,2,FALSE)," ")</f>
        <v xml:space="preserve"> </v>
      </c>
      <c r="I218" s="37" t="str">
        <f t="shared" si="68"/>
        <v xml:space="preserve"> </v>
      </c>
      <c r="J218" s="37" t="str">
        <f>IFERROR(VLOOKUP(F218,'Product Spec'!B:D,3,FALSE)," ")</f>
        <v xml:space="preserve"> </v>
      </c>
      <c r="K218" s="43" t="str">
        <f t="shared" si="69"/>
        <v xml:space="preserve"> </v>
      </c>
      <c r="L218"/>
      <c r="M218"/>
      <c r="N218"/>
      <c r="O218"/>
      <c r="P218" s="8">
        <f t="shared" si="70"/>
        <v>1</v>
      </c>
      <c r="Q218" s="8" t="e" cm="1">
        <f t="array" ref="Q218">_xlfn.IFS(D218=30,0.87,D218=45,0.7,D218=60,0.5)</f>
        <v>#N/A</v>
      </c>
      <c r="R218" s="8">
        <f t="shared" si="71"/>
        <v>0</v>
      </c>
    </row>
    <row r="219" spans="1:23" ht="15" customHeight="1" x14ac:dyDescent="0.25">
      <c r="A219" s="236"/>
      <c r="B219" s="95" t="s">
        <v>170</v>
      </c>
      <c r="C219" s="95"/>
      <c r="D219" s="95"/>
      <c r="E219" s="95"/>
      <c r="F219" s="95"/>
      <c r="G219" s="95"/>
      <c r="H219" s="147" cm="1">
        <f t="array" ref="H219">IF(D130&lt;8,0,SUM(IFERROR(I213:I218,0)))</f>
        <v>194.4</v>
      </c>
      <c r="I219" s="148"/>
      <c r="J219" s="147" cm="1">
        <f t="array" ref="J219">IF(D130&lt;8,0,SUM(IFERROR(K213:K218,0)))</f>
        <v>225.6</v>
      </c>
      <c r="K219" s="149"/>
      <c r="L219"/>
      <c r="M219"/>
      <c r="N219"/>
      <c r="O219"/>
    </row>
    <row r="220" spans="1:23" ht="15" customHeight="1" x14ac:dyDescent="0.25">
      <c r="A220" s="44" t="s">
        <v>168</v>
      </c>
      <c r="B220" s="196"/>
      <c r="C220" s="196"/>
      <c r="D220" s="95" t="s">
        <v>166</v>
      </c>
      <c r="E220" s="95"/>
      <c r="F220" s="95"/>
      <c r="G220" s="95"/>
      <c r="H220" s="150" t="e">
        <f>MAX(100,(0.5*$D$125)/$D$130,V213)</f>
        <v>#VALUE!</v>
      </c>
      <c r="I220" s="151"/>
      <c r="J220" s="150" t="e">
        <f>MAX(100,(0.5*$I$125)/$D$130,V213)</f>
        <v>#VALUE!</v>
      </c>
      <c r="K220" s="152"/>
      <c r="L220"/>
      <c r="M220"/>
      <c r="N220"/>
      <c r="O220"/>
    </row>
    <row r="221" spans="1:23" ht="15" customHeight="1" x14ac:dyDescent="0.25">
      <c r="A221" s="153" t="e">
        <f>IF(OR(S213&lt;1,S214&lt;1),"Warning: Doesn’t meet the minimum BU's requirement per line."," ")</f>
        <v>#VALUE!</v>
      </c>
      <c r="B221" s="154"/>
      <c r="C221" s="154"/>
      <c r="D221" s="154"/>
      <c r="E221" s="154"/>
      <c r="F221" s="154"/>
      <c r="G221" s="154"/>
      <c r="H221" s="154"/>
      <c r="I221" s="154"/>
      <c r="J221" s="154"/>
      <c r="K221" s="155"/>
      <c r="L221"/>
      <c r="M221"/>
      <c r="N221"/>
      <c r="O221"/>
      <c r="P221"/>
      <c r="Q221"/>
      <c r="R221"/>
      <c r="S221"/>
      <c r="T221"/>
      <c r="U221"/>
      <c r="V221"/>
      <c r="W221"/>
    </row>
    <row r="222" spans="1:23" ht="15" customHeight="1" x14ac:dyDescent="0.25">
      <c r="A222" s="156"/>
      <c r="B222" s="157"/>
      <c r="C222" s="157"/>
      <c r="D222" s="157"/>
      <c r="E222" s="157"/>
      <c r="F222" s="157"/>
      <c r="G222" s="157"/>
      <c r="H222" s="157"/>
      <c r="I222" s="157"/>
      <c r="J222" s="157"/>
      <c r="K222" s="158"/>
      <c r="L222"/>
      <c r="M222"/>
      <c r="N222"/>
      <c r="O222"/>
      <c r="P222"/>
      <c r="Q222"/>
      <c r="R222"/>
      <c r="S222"/>
      <c r="T222"/>
      <c r="U222"/>
      <c r="V222"/>
    </row>
    <row r="223" spans="1:23" ht="15" customHeight="1" x14ac:dyDescent="0.25">
      <c r="A223" s="42" t="s">
        <v>83</v>
      </c>
      <c r="B223" s="33" t="s">
        <v>198</v>
      </c>
      <c r="C223" s="34" t="s">
        <v>86</v>
      </c>
      <c r="D223" s="33" t="s">
        <v>87</v>
      </c>
      <c r="E223" s="33" t="s">
        <v>111</v>
      </c>
      <c r="F223" s="33" t="s">
        <v>84</v>
      </c>
      <c r="G223" s="33" t="s">
        <v>85</v>
      </c>
      <c r="H223" s="24" t="s">
        <v>165</v>
      </c>
      <c r="I223" s="24" t="s">
        <v>169</v>
      </c>
      <c r="J223" s="24" t="s">
        <v>165</v>
      </c>
      <c r="K223" s="41" t="s">
        <v>169</v>
      </c>
      <c r="L223"/>
      <c r="M223"/>
      <c r="N223"/>
      <c r="O223"/>
      <c r="V223" s="8" t="s">
        <v>164</v>
      </c>
    </row>
    <row r="224" spans="1:23" ht="15" customHeight="1" x14ac:dyDescent="0.25">
      <c r="A224" s="236" t="s">
        <v>193</v>
      </c>
      <c r="B224" s="20" t="s">
        <v>199</v>
      </c>
      <c r="C224" s="19">
        <v>2.7</v>
      </c>
      <c r="D224" s="17"/>
      <c r="E224" s="16">
        <v>2.7</v>
      </c>
      <c r="F224" s="18" t="s">
        <v>132</v>
      </c>
      <c r="G224" s="18" t="s">
        <v>134</v>
      </c>
      <c r="H224" s="37">
        <f>IFERROR(VLOOKUP(F224,'Product Spec'!B:D,2,FALSE)," ")</f>
        <v>81</v>
      </c>
      <c r="I224" s="37">
        <f>IFERROR(C224*H224*P224*MIN(1,2.4/E224)," ")</f>
        <v>194.4</v>
      </c>
      <c r="J224" s="37">
        <f>IFERROR(VLOOKUP(F224,'Product Spec'!B:D,3,FALSE)," ")</f>
        <v>94</v>
      </c>
      <c r="K224" s="43">
        <f>IFERROR(C224*J224*P224*MIN(1,2.4/E224)," ")</f>
        <v>225.6</v>
      </c>
      <c r="L224"/>
      <c r="M224"/>
      <c r="N224"/>
      <c r="O224"/>
      <c r="P224" s="8">
        <f>IF(OR(D224=30,D224=45,D224=60),Q224,COS(R224))</f>
        <v>1</v>
      </c>
      <c r="Q224" s="8" t="e" cm="1">
        <f t="array" ref="Q224">_xlfn.IFS(D224=30,0.87,D224=45,0.7,D224=60,0.5)</f>
        <v>#N/A</v>
      </c>
      <c r="R224" s="8">
        <f>(PI()/180)*D224</f>
        <v>0</v>
      </c>
      <c r="S224" s="8" t="e">
        <f>H230/H231</f>
        <v>#VALUE!</v>
      </c>
      <c r="V224" s="8">
        <f xml:space="preserve"> C231*15</f>
        <v>0</v>
      </c>
    </row>
    <row r="225" spans="1:23" ht="15" customHeight="1" x14ac:dyDescent="0.25">
      <c r="A225" s="236"/>
      <c r="B225" s="20" t="s">
        <v>200</v>
      </c>
      <c r="C225" s="19"/>
      <c r="D225" s="17"/>
      <c r="E225" s="16"/>
      <c r="F225" s="18"/>
      <c r="G225" s="18"/>
      <c r="H225" s="37" t="str">
        <f>IFERROR(VLOOKUP(F225,'Product Spec'!B:D,2,FALSE)," ")</f>
        <v xml:space="preserve"> </v>
      </c>
      <c r="I225" s="37" t="str">
        <f t="shared" ref="I225:I229" si="72">IFERROR(C225*H225*P225*MIN(1,2.4/E225)," ")</f>
        <v xml:space="preserve"> </v>
      </c>
      <c r="J225" s="37" t="str">
        <f>IFERROR(VLOOKUP(F225,'Product Spec'!B:D,3,FALSE)," ")</f>
        <v xml:space="preserve"> </v>
      </c>
      <c r="K225" s="43" t="str">
        <f t="shared" ref="K225:K229" si="73">IFERROR(C225*J225*P225*MIN(1,2.4/E225)," ")</f>
        <v xml:space="preserve"> </v>
      </c>
      <c r="L225"/>
      <c r="M225"/>
      <c r="N225"/>
      <c r="O225"/>
      <c r="P225" s="8">
        <f t="shared" ref="P225:P229" si="74">IF(OR(D225=30,D225=45,D225=60),Q225,COS(R225))</f>
        <v>1</v>
      </c>
      <c r="Q225" s="8" t="e" cm="1">
        <f t="array" ref="Q225">_xlfn.IFS(D225=30,0.87,D225=45,0.7,D225=60,0.5)</f>
        <v>#N/A</v>
      </c>
      <c r="R225" s="8">
        <f t="shared" ref="R225:R229" si="75">(PI()/180)*D225</f>
        <v>0</v>
      </c>
      <c r="S225" s="8" t="e">
        <f>J230/J231</f>
        <v>#VALUE!</v>
      </c>
    </row>
    <row r="226" spans="1:23" ht="15" customHeight="1" x14ac:dyDescent="0.25">
      <c r="A226" s="236"/>
      <c r="B226" s="20" t="s">
        <v>201</v>
      </c>
      <c r="C226" s="19"/>
      <c r="D226" s="17"/>
      <c r="E226" s="16"/>
      <c r="F226" s="18"/>
      <c r="G226" s="18"/>
      <c r="H226" s="37" t="str">
        <f>IFERROR(VLOOKUP(F226,'Product Spec'!B:D,2,FALSE)," ")</f>
        <v xml:space="preserve"> </v>
      </c>
      <c r="I226" s="37" t="str">
        <f t="shared" si="72"/>
        <v xml:space="preserve"> </v>
      </c>
      <c r="J226" s="37" t="str">
        <f>IFERROR(VLOOKUP(F226,'Product Spec'!B:D,3,FALSE)," ")</f>
        <v xml:space="preserve"> </v>
      </c>
      <c r="K226" s="43" t="str">
        <f t="shared" si="73"/>
        <v xml:space="preserve"> </v>
      </c>
      <c r="L226"/>
      <c r="M226"/>
      <c r="N226"/>
      <c r="O226"/>
      <c r="P226" s="8">
        <f t="shared" si="74"/>
        <v>1</v>
      </c>
      <c r="Q226" s="8" t="e" cm="1">
        <f t="array" ref="Q226">_xlfn.IFS(D226=30,0.87,D226=45,0.7,D226=60,0.5)</f>
        <v>#N/A</v>
      </c>
      <c r="R226" s="8">
        <f t="shared" si="75"/>
        <v>0</v>
      </c>
    </row>
    <row r="227" spans="1:23" ht="15" customHeight="1" x14ac:dyDescent="0.25">
      <c r="A227" s="236"/>
      <c r="B227" s="20" t="s">
        <v>202</v>
      </c>
      <c r="C227" s="19"/>
      <c r="D227" s="17"/>
      <c r="E227" s="16"/>
      <c r="F227" s="18"/>
      <c r="G227" s="18"/>
      <c r="H227" s="37" t="str">
        <f>IFERROR(VLOOKUP(F227,'Product Spec'!B:D,2,FALSE)," ")</f>
        <v xml:space="preserve"> </v>
      </c>
      <c r="I227" s="37" t="str">
        <f t="shared" si="72"/>
        <v xml:space="preserve"> </v>
      </c>
      <c r="J227" s="37" t="str">
        <f>IFERROR(VLOOKUP(F227,'Product Spec'!B:D,3,FALSE)," ")</f>
        <v xml:space="preserve"> </v>
      </c>
      <c r="K227" s="43" t="str">
        <f t="shared" si="73"/>
        <v xml:space="preserve"> </v>
      </c>
      <c r="L227"/>
      <c r="M227"/>
      <c r="N227"/>
      <c r="O227"/>
      <c r="P227" s="8">
        <f t="shared" si="74"/>
        <v>1</v>
      </c>
      <c r="Q227" s="8" t="e" cm="1">
        <f t="array" ref="Q227">_xlfn.IFS(D227=30,0.87,D227=45,0.7,D227=60,0.5)</f>
        <v>#N/A</v>
      </c>
      <c r="R227" s="8">
        <f t="shared" si="75"/>
        <v>0</v>
      </c>
    </row>
    <row r="228" spans="1:23" ht="15" customHeight="1" x14ac:dyDescent="0.25">
      <c r="A228" s="236"/>
      <c r="B228" s="20" t="s">
        <v>203</v>
      </c>
      <c r="C228" s="19"/>
      <c r="D228" s="17"/>
      <c r="E228" s="16"/>
      <c r="F228" s="18"/>
      <c r="G228" s="18"/>
      <c r="H228" s="37" t="str">
        <f>IFERROR(VLOOKUP(F228,'Product Spec'!B:D,2,FALSE)," ")</f>
        <v xml:space="preserve"> </v>
      </c>
      <c r="I228" s="37" t="str">
        <f t="shared" si="72"/>
        <v xml:space="preserve"> </v>
      </c>
      <c r="J228" s="37" t="str">
        <f>IFERROR(VLOOKUP(F228,'Product Spec'!B:D,3,FALSE)," ")</f>
        <v xml:space="preserve"> </v>
      </c>
      <c r="K228" s="43" t="str">
        <f t="shared" si="73"/>
        <v xml:space="preserve"> </v>
      </c>
      <c r="L228"/>
      <c r="M228"/>
      <c r="N228"/>
      <c r="O228"/>
      <c r="P228" s="8">
        <f t="shared" si="74"/>
        <v>1</v>
      </c>
      <c r="Q228" s="8" t="e" cm="1">
        <f t="array" ref="Q228">_xlfn.IFS(D228=30,0.87,D228=45,0.7,D228=60,0.5)</f>
        <v>#N/A</v>
      </c>
      <c r="R228" s="8">
        <f t="shared" si="75"/>
        <v>0</v>
      </c>
    </row>
    <row r="229" spans="1:23" ht="15" customHeight="1" x14ac:dyDescent="0.25">
      <c r="A229" s="236"/>
      <c r="B229" s="20" t="s">
        <v>204</v>
      </c>
      <c r="C229" s="19"/>
      <c r="D229" s="17"/>
      <c r="E229" s="16"/>
      <c r="F229" s="18"/>
      <c r="G229" s="18"/>
      <c r="H229" s="37" t="str">
        <f>IFERROR(VLOOKUP(F229,'Product Spec'!B:D,2,FALSE)," ")</f>
        <v xml:space="preserve"> </v>
      </c>
      <c r="I229" s="37" t="str">
        <f t="shared" si="72"/>
        <v xml:space="preserve"> </v>
      </c>
      <c r="J229" s="37" t="str">
        <f>IFERROR(VLOOKUP(F229,'Product Spec'!B:D,3,FALSE)," ")</f>
        <v xml:space="preserve"> </v>
      </c>
      <c r="K229" s="43" t="str">
        <f t="shared" si="73"/>
        <v xml:space="preserve"> </v>
      </c>
      <c r="L229"/>
      <c r="M229"/>
      <c r="N229"/>
      <c r="O229"/>
      <c r="P229" s="8">
        <f t="shared" si="74"/>
        <v>1</v>
      </c>
      <c r="Q229" s="8" t="e" cm="1">
        <f t="array" ref="Q229">_xlfn.IFS(D229=30,0.87,D229=45,0.7,D229=60,0.5)</f>
        <v>#N/A</v>
      </c>
      <c r="R229" s="8">
        <f t="shared" si="75"/>
        <v>0</v>
      </c>
    </row>
    <row r="230" spans="1:23" ht="15" customHeight="1" x14ac:dyDescent="0.25">
      <c r="A230" s="236"/>
      <c r="B230" s="98" t="s">
        <v>170</v>
      </c>
      <c r="C230" s="99"/>
      <c r="D230" s="99"/>
      <c r="E230" s="99"/>
      <c r="F230" s="99"/>
      <c r="G230" s="100"/>
      <c r="H230" s="147" cm="1">
        <f t="array" ref="H230">IF(D130&lt;9,0,SUM(IFERROR(I224:I229,0)))</f>
        <v>194.4</v>
      </c>
      <c r="I230" s="148"/>
      <c r="J230" s="147" cm="1">
        <f t="array" ref="J230">IF(D130&lt;9,0,SUM(IFERROR(K224:K229,0)))</f>
        <v>225.6</v>
      </c>
      <c r="K230" s="149"/>
      <c r="L230"/>
      <c r="M230"/>
      <c r="N230"/>
      <c r="O230"/>
    </row>
    <row r="231" spans="1:23" ht="15" customHeight="1" x14ac:dyDescent="0.25">
      <c r="A231" s="44" t="s">
        <v>168</v>
      </c>
      <c r="B231" s="160"/>
      <c r="C231" s="161"/>
      <c r="D231" s="99" t="s">
        <v>166</v>
      </c>
      <c r="E231" s="99"/>
      <c r="F231" s="99"/>
      <c r="G231" s="100"/>
      <c r="H231" s="150" t="e">
        <f>MAX(100,(0.5*$D$125)/$D$130,V224)</f>
        <v>#VALUE!</v>
      </c>
      <c r="I231" s="151"/>
      <c r="J231" s="150" t="e">
        <f>MAX(100,(0.5*$I$125)/$D$130,V224)</f>
        <v>#VALUE!</v>
      </c>
      <c r="K231" s="152"/>
    </row>
    <row r="232" spans="1:23" ht="15" customHeight="1" x14ac:dyDescent="0.25">
      <c r="A232" s="153" t="e">
        <f>IF(OR(S224&lt;1,S225&lt;1),"Warning: Doesn’t meet the minimum BU's requirement per line."," ")</f>
        <v>#VALUE!</v>
      </c>
      <c r="B232" s="154"/>
      <c r="C232" s="154"/>
      <c r="D232" s="154"/>
      <c r="E232" s="154"/>
      <c r="F232" s="154"/>
      <c r="G232" s="154"/>
      <c r="H232" s="154"/>
      <c r="I232" s="154"/>
      <c r="J232" s="154"/>
      <c r="K232" s="155"/>
      <c r="P232"/>
      <c r="Q232"/>
      <c r="R232"/>
      <c r="S232"/>
      <c r="T232"/>
      <c r="U232"/>
      <c r="V232"/>
      <c r="W232"/>
    </row>
    <row r="233" spans="1:23" ht="15" customHeight="1" x14ac:dyDescent="0.25">
      <c r="A233" s="156"/>
      <c r="B233" s="157"/>
      <c r="C233" s="157"/>
      <c r="D233" s="157"/>
      <c r="E233" s="157"/>
      <c r="F233" s="157"/>
      <c r="G233" s="157"/>
      <c r="H233" s="157"/>
      <c r="I233" s="157"/>
      <c r="J233" s="157"/>
      <c r="K233" s="158"/>
      <c r="P233"/>
      <c r="Q233"/>
      <c r="R233"/>
      <c r="S233"/>
      <c r="T233"/>
      <c r="U233"/>
      <c r="V233"/>
    </row>
    <row r="234" spans="1:23" ht="15" customHeight="1" x14ac:dyDescent="0.25">
      <c r="A234" s="42" t="s">
        <v>83</v>
      </c>
      <c r="B234" s="33" t="s">
        <v>198</v>
      </c>
      <c r="C234" s="34" t="s">
        <v>86</v>
      </c>
      <c r="D234" s="33" t="s">
        <v>87</v>
      </c>
      <c r="E234" s="33" t="s">
        <v>111</v>
      </c>
      <c r="F234" s="33" t="s">
        <v>84</v>
      </c>
      <c r="G234" s="33" t="s">
        <v>85</v>
      </c>
      <c r="H234" s="24" t="s">
        <v>165</v>
      </c>
      <c r="I234" s="24" t="s">
        <v>169</v>
      </c>
      <c r="J234" s="24" t="s">
        <v>165</v>
      </c>
      <c r="K234" s="41" t="s">
        <v>169</v>
      </c>
      <c r="V234" s="8" t="s">
        <v>164</v>
      </c>
    </row>
    <row r="235" spans="1:23" ht="15" customHeight="1" x14ac:dyDescent="0.25">
      <c r="A235" s="236" t="s">
        <v>194</v>
      </c>
      <c r="B235" s="20" t="s">
        <v>199</v>
      </c>
      <c r="C235" s="19">
        <v>5</v>
      </c>
      <c r="D235" s="17"/>
      <c r="E235" s="16">
        <v>2.7</v>
      </c>
      <c r="F235" s="18" t="s">
        <v>132</v>
      </c>
      <c r="G235" s="18" t="s">
        <v>134</v>
      </c>
      <c r="H235" s="37">
        <f>IFERROR(VLOOKUP(F235,'Product Spec'!B:D,2,FALSE)," ")</f>
        <v>81</v>
      </c>
      <c r="I235" s="37">
        <f>IFERROR(C235*H235*P235*MIN(1,2.4/E235)," ")</f>
        <v>360</v>
      </c>
      <c r="J235" s="37">
        <f>IFERROR(VLOOKUP(F235,'Product Spec'!B:D,3,FALSE)," ")</f>
        <v>94</v>
      </c>
      <c r="K235" s="43">
        <f>IFERROR(C235*J235*P235*MIN(1,2.4/E235)," ")</f>
        <v>417.77777777777777</v>
      </c>
      <c r="P235" s="8">
        <f>IF(OR(D235=30,D235=45,D235=60),Q235,COS(R235))</f>
        <v>1</v>
      </c>
      <c r="Q235" s="8" t="e" cm="1">
        <f t="array" ref="Q235">_xlfn.IFS(D235=30,0.87,D235=45,0.7,D235=60,0.5)</f>
        <v>#N/A</v>
      </c>
      <c r="R235" s="8">
        <f>(PI()/180)*D235</f>
        <v>0</v>
      </c>
      <c r="S235" s="8" t="e">
        <f>H241/H242</f>
        <v>#VALUE!</v>
      </c>
      <c r="V235" s="8">
        <f xml:space="preserve"> C242*15</f>
        <v>0</v>
      </c>
    </row>
    <row r="236" spans="1:23" ht="15" customHeight="1" x14ac:dyDescent="0.25">
      <c r="A236" s="236"/>
      <c r="B236" s="20" t="s">
        <v>200</v>
      </c>
      <c r="C236" s="19"/>
      <c r="D236" s="17"/>
      <c r="E236" s="16"/>
      <c r="F236" s="18"/>
      <c r="G236" s="18"/>
      <c r="H236" s="37" t="str">
        <f>IFERROR(VLOOKUP(F236,'Product Spec'!B:D,2,FALSE)," ")</f>
        <v xml:space="preserve"> </v>
      </c>
      <c r="I236" s="37" t="str">
        <f t="shared" ref="I236:I240" si="76">IFERROR(C236*H236*P236*MIN(1,2.4/E236)," ")</f>
        <v xml:space="preserve"> </v>
      </c>
      <c r="J236" s="37" t="str">
        <f>IFERROR(VLOOKUP(F236,'Product Spec'!B:D,3,FALSE)," ")</f>
        <v xml:space="preserve"> </v>
      </c>
      <c r="K236" s="43" t="str">
        <f t="shared" ref="K236:K240" si="77">IFERROR(C236*J236*P236*MIN(1,2.4/E236)," ")</f>
        <v xml:space="preserve"> </v>
      </c>
      <c r="P236" s="8">
        <f t="shared" ref="P236:P240" si="78">IF(OR(D236=30,D236=45,D236=60),Q236,COS(R236))</f>
        <v>1</v>
      </c>
      <c r="Q236" s="8" t="e" cm="1">
        <f t="array" ref="Q236">_xlfn.IFS(D236=30,0.87,D236=45,0.7,D236=60,0.5)</f>
        <v>#N/A</v>
      </c>
      <c r="R236" s="8">
        <f t="shared" ref="R236:R240" si="79">(PI()/180)*D236</f>
        <v>0</v>
      </c>
      <c r="S236" s="8" t="e">
        <f>J241/J242</f>
        <v>#VALUE!</v>
      </c>
    </row>
    <row r="237" spans="1:23" ht="15" customHeight="1" x14ac:dyDescent="0.25">
      <c r="A237" s="236"/>
      <c r="B237" s="20" t="s">
        <v>201</v>
      </c>
      <c r="C237" s="19"/>
      <c r="D237" s="17"/>
      <c r="E237" s="16"/>
      <c r="F237" s="18"/>
      <c r="G237" s="18"/>
      <c r="H237" s="37" t="str">
        <f>IFERROR(VLOOKUP(F237,'Product Spec'!B:D,2,FALSE)," ")</f>
        <v xml:space="preserve"> </v>
      </c>
      <c r="I237" s="37" t="str">
        <f t="shared" si="76"/>
        <v xml:space="preserve"> </v>
      </c>
      <c r="J237" s="37" t="str">
        <f>IFERROR(VLOOKUP(F237,'Product Spec'!B:D,3,FALSE)," ")</f>
        <v xml:space="preserve"> </v>
      </c>
      <c r="K237" s="43" t="str">
        <f t="shared" si="77"/>
        <v xml:space="preserve"> </v>
      </c>
      <c r="P237" s="8">
        <f t="shared" si="78"/>
        <v>1</v>
      </c>
      <c r="Q237" s="8" t="e" cm="1">
        <f t="array" ref="Q237">_xlfn.IFS(D237=30,0.87,D237=45,0.7,D237=60,0.5)</f>
        <v>#N/A</v>
      </c>
      <c r="R237" s="8">
        <f t="shared" si="79"/>
        <v>0</v>
      </c>
    </row>
    <row r="238" spans="1:23" ht="15" customHeight="1" x14ac:dyDescent="0.25">
      <c r="A238" s="236"/>
      <c r="B238" s="20" t="s">
        <v>202</v>
      </c>
      <c r="C238" s="19"/>
      <c r="D238" s="17"/>
      <c r="E238" s="16"/>
      <c r="F238" s="18"/>
      <c r="G238" s="18"/>
      <c r="H238" s="37" t="str">
        <f>IFERROR(VLOOKUP(F238,'Product Spec'!B:D,2,FALSE)," ")</f>
        <v xml:space="preserve"> </v>
      </c>
      <c r="I238" s="37" t="str">
        <f t="shared" si="76"/>
        <v xml:space="preserve"> </v>
      </c>
      <c r="J238" s="37" t="str">
        <f>IFERROR(VLOOKUP(F238,'Product Spec'!B:D,3,FALSE)," ")</f>
        <v xml:space="preserve"> </v>
      </c>
      <c r="K238" s="43" t="str">
        <f t="shared" si="77"/>
        <v xml:space="preserve"> </v>
      </c>
      <c r="P238" s="8">
        <f t="shared" si="78"/>
        <v>1</v>
      </c>
      <c r="Q238" s="8" t="e" cm="1">
        <f t="array" ref="Q238">_xlfn.IFS(D238=30,0.87,D238=45,0.7,D238=60,0.5)</f>
        <v>#N/A</v>
      </c>
      <c r="R238" s="8">
        <f t="shared" si="79"/>
        <v>0</v>
      </c>
    </row>
    <row r="239" spans="1:23" ht="15" customHeight="1" x14ac:dyDescent="0.25">
      <c r="A239" s="236"/>
      <c r="B239" s="20" t="s">
        <v>203</v>
      </c>
      <c r="C239" s="19"/>
      <c r="D239" s="17"/>
      <c r="E239" s="16"/>
      <c r="F239" s="18"/>
      <c r="G239" s="18"/>
      <c r="H239" s="37" t="str">
        <f>IFERROR(VLOOKUP(F239,'Product Spec'!B:D,2,FALSE)," ")</f>
        <v xml:space="preserve"> </v>
      </c>
      <c r="I239" s="37" t="str">
        <f t="shared" si="76"/>
        <v xml:space="preserve"> </v>
      </c>
      <c r="J239" s="37" t="str">
        <f>IFERROR(VLOOKUP(F239,'Product Spec'!B:D,3,FALSE)," ")</f>
        <v xml:space="preserve"> </v>
      </c>
      <c r="K239" s="43" t="str">
        <f t="shared" si="77"/>
        <v xml:space="preserve"> </v>
      </c>
      <c r="P239" s="8">
        <f t="shared" si="78"/>
        <v>1</v>
      </c>
      <c r="Q239" s="8" t="e" cm="1">
        <f t="array" ref="Q239">_xlfn.IFS(D239=30,0.87,D239=45,0.7,D239=60,0.5)</f>
        <v>#N/A</v>
      </c>
      <c r="R239" s="8">
        <f t="shared" si="79"/>
        <v>0</v>
      </c>
    </row>
    <row r="240" spans="1:23" ht="15" customHeight="1" x14ac:dyDescent="0.25">
      <c r="A240" s="236"/>
      <c r="B240" s="20" t="s">
        <v>204</v>
      </c>
      <c r="C240" s="19"/>
      <c r="D240" s="17"/>
      <c r="E240" s="16"/>
      <c r="F240" s="18"/>
      <c r="G240" s="18"/>
      <c r="H240" s="37" t="str">
        <f>IFERROR(VLOOKUP(F240,'Product Spec'!B:D,2,FALSE)," ")</f>
        <v xml:space="preserve"> </v>
      </c>
      <c r="I240" s="37" t="str">
        <f t="shared" si="76"/>
        <v xml:space="preserve"> </v>
      </c>
      <c r="J240" s="37" t="str">
        <f>IFERROR(VLOOKUP(F240,'Product Spec'!B:D,3,FALSE)," ")</f>
        <v xml:space="preserve"> </v>
      </c>
      <c r="K240" s="43" t="str">
        <f t="shared" si="77"/>
        <v xml:space="preserve"> </v>
      </c>
      <c r="P240" s="8">
        <f t="shared" si="78"/>
        <v>1</v>
      </c>
      <c r="Q240" s="8" t="e" cm="1">
        <f t="array" ref="Q240">_xlfn.IFS(D240=30,0.87,D240=45,0.7,D240=60,0.5)</f>
        <v>#N/A</v>
      </c>
      <c r="R240" s="8">
        <f t="shared" si="79"/>
        <v>0</v>
      </c>
    </row>
    <row r="241" spans="1:11" ht="15" customHeight="1" x14ac:dyDescent="0.25">
      <c r="A241" s="236"/>
      <c r="B241" s="98" t="s">
        <v>170</v>
      </c>
      <c r="C241" s="99"/>
      <c r="D241" s="99"/>
      <c r="E241" s="99"/>
      <c r="F241" s="99"/>
      <c r="G241" s="100"/>
      <c r="H241" s="147" cm="1">
        <f t="array" ref="H241">IF(D130&lt;10,0,SUM(IFERROR(I235:I240,0)))</f>
        <v>360</v>
      </c>
      <c r="I241" s="148"/>
      <c r="J241" s="147" cm="1">
        <f t="array" ref="J241">IF(D130&lt;10,0,SUM(IFERROR(K235:K240,0)))</f>
        <v>417.77777777777777</v>
      </c>
      <c r="K241" s="149"/>
    </row>
    <row r="242" spans="1:11" ht="15" customHeight="1" x14ac:dyDescent="0.25">
      <c r="A242" s="44" t="s">
        <v>168</v>
      </c>
      <c r="B242" s="160"/>
      <c r="C242" s="161"/>
      <c r="D242" s="99" t="s">
        <v>166</v>
      </c>
      <c r="E242" s="99"/>
      <c r="F242" s="99"/>
      <c r="G242" s="100"/>
      <c r="H242" s="150" t="e">
        <f>MAX(100,(0.5*$D$125)/$D$130,V235)</f>
        <v>#VALUE!</v>
      </c>
      <c r="I242" s="151"/>
      <c r="J242" s="150" t="e">
        <f>MAX(100,(0.5*$I$125)/$D$130,V235)</f>
        <v>#VALUE!</v>
      </c>
      <c r="K242" s="152"/>
    </row>
    <row r="243" spans="1:11" ht="15" customHeight="1" x14ac:dyDescent="0.25">
      <c r="A243" s="153" t="e">
        <f>IF(OR(S235&lt;1,S236&lt;1),"Warning: Doesn’t meet the minimum BU's requirement per line."," ")</f>
        <v>#VALUE!</v>
      </c>
      <c r="B243" s="154"/>
      <c r="C243" s="154"/>
      <c r="D243" s="154"/>
      <c r="E243" s="154"/>
      <c r="F243" s="154"/>
      <c r="G243" s="154"/>
      <c r="H243" s="154"/>
      <c r="I243" s="154"/>
      <c r="J243" s="154"/>
      <c r="K243" s="155"/>
    </row>
    <row r="244" spans="1:11" ht="15" customHeight="1" thickBot="1" x14ac:dyDescent="0.3">
      <c r="A244" s="162"/>
      <c r="B244" s="163"/>
      <c r="C244" s="163"/>
      <c r="D244" s="163"/>
      <c r="E244" s="163"/>
      <c r="F244" s="163"/>
      <c r="G244" s="163"/>
      <c r="H244" s="163"/>
      <c r="I244" s="163"/>
      <c r="J244" s="163"/>
      <c r="K244" s="164"/>
    </row>
  </sheetData>
  <sheetProtection algorithmName="SHA-512" hashValue="vPZFNUupbSLC7dnrRmMzSaf3IClQRrEDFWmz65y/We2E1V3OFWi4VXXu8kXYIEBThlUi61zNvbl3bjXI9qoubQ==" saltValue="7BUY8XEjrg/3VSt0Bplrvw==" spinCount="100000" sheet="1" objects="1" scenarios="1"/>
  <protectedRanges>
    <protectedRange sqref="D130 C136:G141 B143 C147:G152 B154 C158:G163 B165 C169:G174 B176 C180:G185 B187 C191:G196 B198 C202:G207 B209 C213:G218 B220 C224:G229 B231 C235:G240 B242" name="Range2"/>
    <protectedRange sqref="D8 C14:G19 B21 C25:G30 B32 C36:G41 B43 C47:G52 B54 C58:G63 B65 C69:G74 B76 C80:G85 B87 C91:G96 B98 C102:G107 B109 C113:G118 B120" name="Range1"/>
  </protectedRanges>
  <dataConsolidate/>
  <mergeCells count="248">
    <mergeCell ref="J120:K120"/>
    <mergeCell ref="D109:G109"/>
    <mergeCell ref="H109:I109"/>
    <mergeCell ref="J109:K109"/>
    <mergeCell ref="H119:I119"/>
    <mergeCell ref="J119:K119"/>
    <mergeCell ref="B186:G186"/>
    <mergeCell ref="B176:C176"/>
    <mergeCell ref="B175:G175"/>
    <mergeCell ref="B164:G164"/>
    <mergeCell ref="B165:C165"/>
    <mergeCell ref="B153:G153"/>
    <mergeCell ref="B154:C154"/>
    <mergeCell ref="B142:G142"/>
    <mergeCell ref="B143:C143"/>
    <mergeCell ref="A144:K144"/>
    <mergeCell ref="A145:K145"/>
    <mergeCell ref="A147:A153"/>
    <mergeCell ref="H153:I153"/>
    <mergeCell ref="J153:K153"/>
    <mergeCell ref="D154:G154"/>
    <mergeCell ref="H154:I154"/>
    <mergeCell ref="J154:K154"/>
    <mergeCell ref="A155:K155"/>
    <mergeCell ref="B187:C187"/>
    <mergeCell ref="B219:G219"/>
    <mergeCell ref="B220:C220"/>
    <mergeCell ref="A211:K211"/>
    <mergeCell ref="A213:A219"/>
    <mergeCell ref="H219:I219"/>
    <mergeCell ref="J219:K219"/>
    <mergeCell ref="D220:G220"/>
    <mergeCell ref="H220:I220"/>
    <mergeCell ref="J220:K220"/>
    <mergeCell ref="H209:I209"/>
    <mergeCell ref="J209:K209"/>
    <mergeCell ref="D187:G187"/>
    <mergeCell ref="H187:I187"/>
    <mergeCell ref="J187:K187"/>
    <mergeCell ref="A188:K188"/>
    <mergeCell ref="A199:K199"/>
    <mergeCell ref="A200:K200"/>
    <mergeCell ref="A202:A208"/>
    <mergeCell ref="H208:I208"/>
    <mergeCell ref="J208:K208"/>
    <mergeCell ref="D209:G209"/>
    <mergeCell ref="A189:K189"/>
    <mergeCell ref="A191:A197"/>
    <mergeCell ref="J165:K165"/>
    <mergeCell ref="A166:K166"/>
    <mergeCell ref="A167:K167"/>
    <mergeCell ref="A169:A175"/>
    <mergeCell ref="H175:I175"/>
    <mergeCell ref="J175:K175"/>
    <mergeCell ref="D176:G176"/>
    <mergeCell ref="H176:I176"/>
    <mergeCell ref="J176:K176"/>
    <mergeCell ref="A177:K177"/>
    <mergeCell ref="A178:K178"/>
    <mergeCell ref="A180:A186"/>
    <mergeCell ref="H186:I186"/>
    <mergeCell ref="J186:K186"/>
    <mergeCell ref="A1:K1"/>
    <mergeCell ref="A156:K156"/>
    <mergeCell ref="A158:A164"/>
    <mergeCell ref="H164:I164"/>
    <mergeCell ref="J164:K164"/>
    <mergeCell ref="D165:G165"/>
    <mergeCell ref="H165:I165"/>
    <mergeCell ref="A130:C132"/>
    <mergeCell ref="D130:D132"/>
    <mergeCell ref="E130:K132"/>
    <mergeCell ref="A133:K133"/>
    <mergeCell ref="A134:G134"/>
    <mergeCell ref="H134:I134"/>
    <mergeCell ref="J134:K134"/>
    <mergeCell ref="A136:A142"/>
    <mergeCell ref="H142:I142"/>
    <mergeCell ref="J142:K142"/>
    <mergeCell ref="D143:G143"/>
    <mergeCell ref="H143:I143"/>
    <mergeCell ref="J143:K143"/>
    <mergeCell ref="A99:K99"/>
    <mergeCell ref="A102:A108"/>
    <mergeCell ref="H108:I108"/>
    <mergeCell ref="J108:K108"/>
    <mergeCell ref="A2:F2"/>
    <mergeCell ref="A3:C3"/>
    <mergeCell ref="A4:C4"/>
    <mergeCell ref="A5:C5"/>
    <mergeCell ref="A6:F7"/>
    <mergeCell ref="D125:E125"/>
    <mergeCell ref="D4:E4"/>
    <mergeCell ref="D5:E5"/>
    <mergeCell ref="G2:K2"/>
    <mergeCell ref="G3:H3"/>
    <mergeCell ref="G4:H4"/>
    <mergeCell ref="G5:H5"/>
    <mergeCell ref="G6:K7"/>
    <mergeCell ref="I3:J3"/>
    <mergeCell ref="I4:J4"/>
    <mergeCell ref="I5:J5"/>
    <mergeCell ref="B20:G20"/>
    <mergeCell ref="B21:C21"/>
    <mergeCell ref="B32:C32"/>
    <mergeCell ref="B120:C120"/>
    <mergeCell ref="B119:G119"/>
    <mergeCell ref="B108:G108"/>
    <mergeCell ref="B109:C109"/>
    <mergeCell ref="H120:I120"/>
    <mergeCell ref="A8:C10"/>
    <mergeCell ref="D8:D10"/>
    <mergeCell ref="E8:K10"/>
    <mergeCell ref="A12:G12"/>
    <mergeCell ref="H12:I12"/>
    <mergeCell ref="J12:K12"/>
    <mergeCell ref="A11:K11"/>
    <mergeCell ref="A14:A20"/>
    <mergeCell ref="A22:K22"/>
    <mergeCell ref="A23:K23"/>
    <mergeCell ref="D21:G21"/>
    <mergeCell ref="H20:I20"/>
    <mergeCell ref="J20:K20"/>
    <mergeCell ref="H21:I21"/>
    <mergeCell ref="J21:K21"/>
    <mergeCell ref="A25:A31"/>
    <mergeCell ref="H31:I31"/>
    <mergeCell ref="J31:K31"/>
    <mergeCell ref="B31:G31"/>
    <mergeCell ref="D32:G32"/>
    <mergeCell ref="H32:I32"/>
    <mergeCell ref="J32:K32"/>
    <mergeCell ref="A33:K33"/>
    <mergeCell ref="A36:A42"/>
    <mergeCell ref="H42:I42"/>
    <mergeCell ref="J42:K42"/>
    <mergeCell ref="D43:G43"/>
    <mergeCell ref="H43:I43"/>
    <mergeCell ref="J43:K43"/>
    <mergeCell ref="B43:C43"/>
    <mergeCell ref="B42:G42"/>
    <mergeCell ref="A44:K44"/>
    <mergeCell ref="A47:A53"/>
    <mergeCell ref="H53:I53"/>
    <mergeCell ref="J53:K53"/>
    <mergeCell ref="D54:G54"/>
    <mergeCell ref="H54:I54"/>
    <mergeCell ref="J54:K54"/>
    <mergeCell ref="A55:K55"/>
    <mergeCell ref="B54:C54"/>
    <mergeCell ref="B53:G53"/>
    <mergeCell ref="A58:A64"/>
    <mergeCell ref="H64:I64"/>
    <mergeCell ref="J64:K64"/>
    <mergeCell ref="D65:G65"/>
    <mergeCell ref="H65:I65"/>
    <mergeCell ref="J65:K65"/>
    <mergeCell ref="A66:K66"/>
    <mergeCell ref="A91:A97"/>
    <mergeCell ref="H97:I97"/>
    <mergeCell ref="J97:K97"/>
    <mergeCell ref="A67:K67"/>
    <mergeCell ref="B97:G97"/>
    <mergeCell ref="B87:C87"/>
    <mergeCell ref="B86:G86"/>
    <mergeCell ref="B76:C76"/>
    <mergeCell ref="B75:G75"/>
    <mergeCell ref="B65:C65"/>
    <mergeCell ref="B64:G64"/>
    <mergeCell ref="D76:G76"/>
    <mergeCell ref="J98:K98"/>
    <mergeCell ref="A69:A75"/>
    <mergeCell ref="H75:I75"/>
    <mergeCell ref="J75:K75"/>
    <mergeCell ref="H76:I76"/>
    <mergeCell ref="J76:K76"/>
    <mergeCell ref="A77:K77"/>
    <mergeCell ref="A80:A86"/>
    <mergeCell ref="H86:I86"/>
    <mergeCell ref="J86:K86"/>
    <mergeCell ref="A78:K78"/>
    <mergeCell ref="B98:C98"/>
    <mergeCell ref="A56:K56"/>
    <mergeCell ref="A45:K45"/>
    <mergeCell ref="A34:K34"/>
    <mergeCell ref="A123:K123"/>
    <mergeCell ref="A124:F124"/>
    <mergeCell ref="G124:K124"/>
    <mergeCell ref="A125:C125"/>
    <mergeCell ref="D3:E3"/>
    <mergeCell ref="G125:H125"/>
    <mergeCell ref="I125:J125"/>
    <mergeCell ref="A110:K110"/>
    <mergeCell ref="A113:A119"/>
    <mergeCell ref="D120:G120"/>
    <mergeCell ref="A121:K121"/>
    <mergeCell ref="A122:K122"/>
    <mergeCell ref="A111:K111"/>
    <mergeCell ref="A100:K100"/>
    <mergeCell ref="A89:K89"/>
    <mergeCell ref="D87:G87"/>
    <mergeCell ref="H87:I87"/>
    <mergeCell ref="J87:K87"/>
    <mergeCell ref="A88:K88"/>
    <mergeCell ref="D98:G98"/>
    <mergeCell ref="H98:I98"/>
    <mergeCell ref="A126:C126"/>
    <mergeCell ref="D126:E126"/>
    <mergeCell ref="G126:H126"/>
    <mergeCell ref="I126:J126"/>
    <mergeCell ref="A127:C127"/>
    <mergeCell ref="D127:E127"/>
    <mergeCell ref="G127:H127"/>
    <mergeCell ref="A128:F129"/>
    <mergeCell ref="G128:K129"/>
    <mergeCell ref="I127:J127"/>
    <mergeCell ref="A243:K243"/>
    <mergeCell ref="A244:K244"/>
    <mergeCell ref="D231:G231"/>
    <mergeCell ref="H231:I231"/>
    <mergeCell ref="J231:K231"/>
    <mergeCell ref="A232:K232"/>
    <mergeCell ref="A233:K233"/>
    <mergeCell ref="A235:A241"/>
    <mergeCell ref="H241:I241"/>
    <mergeCell ref="J241:K241"/>
    <mergeCell ref="D242:G242"/>
    <mergeCell ref="B241:G241"/>
    <mergeCell ref="B242:C242"/>
    <mergeCell ref="B231:C231"/>
    <mergeCell ref="H242:I242"/>
    <mergeCell ref="J242:K242"/>
    <mergeCell ref="H197:I197"/>
    <mergeCell ref="J197:K197"/>
    <mergeCell ref="D198:G198"/>
    <mergeCell ref="H198:I198"/>
    <mergeCell ref="J198:K198"/>
    <mergeCell ref="A221:K221"/>
    <mergeCell ref="A222:K222"/>
    <mergeCell ref="A224:A230"/>
    <mergeCell ref="H230:I230"/>
    <mergeCell ref="J230:K230"/>
    <mergeCell ref="A210:K210"/>
    <mergeCell ref="B230:G230"/>
    <mergeCell ref="B209:C209"/>
    <mergeCell ref="B208:G208"/>
    <mergeCell ref="B198:C198"/>
    <mergeCell ref="B197:G197"/>
  </mergeCells>
  <conditionalFormatting sqref="A79:A86 A88:A97 A99:A108 A110:A119 A121:A122 A87:D87 A98:D98 A109:D109 A120:D120 A79:K122 B86 B97 B108 B119 C80:F85 C91:F96 C102:F107 C113:F118 C79:K79 C90:K90 C101:K101 C112:K112 H80:K86 H91:K97 H102:K108 H113:K119 J87 J98 J109 J120">
    <cfRule type="expression" dxfId="87" priority="56">
      <formula>$D$8=6</formula>
    </cfRule>
  </conditionalFormatting>
  <conditionalFormatting sqref="A90:A97 A99:A108 A110:A119 A121:A122 A98:D98 A109:D109 A120:D120 A91:K122 B97 B108 B119 C91:F96 C102:F107 C113:F118 C90:K90 C101:K101 C112:K112 H91:K97 H102:K108 H113:K119 J98 J109 J120">
    <cfRule type="expression" dxfId="86" priority="55">
      <formula>$D$8=7</formula>
    </cfRule>
  </conditionalFormatting>
  <conditionalFormatting sqref="A101:A108 A110:A119 A121:A122 A109:D109 A120:D120 A101:K122 B108 B119 C102:F107 C113:F118 C101:K101 C112:K112 H102:K108 H113:K119 J109 J120">
    <cfRule type="expression" dxfId="85" priority="54">
      <formula>$D$8=8</formula>
    </cfRule>
  </conditionalFormatting>
  <conditionalFormatting sqref="A112:A119 A121:A122 A120:D120 A112:K122 B119 C113:F118 C112:K112 H113:K119 J120">
    <cfRule type="expression" dxfId="84" priority="53">
      <formula>$D$8=9</formula>
    </cfRule>
  </conditionalFormatting>
  <conditionalFormatting sqref="A6:B6 G6">
    <cfRule type="containsText" dxfId="83" priority="186" operator="containsText" text="Fail (Not Enough BU's Achieved).">
      <formula>NOT(ISERROR(SEARCH("Fail (Not Enough BU's Achieved).",A6)))</formula>
    </cfRule>
    <cfRule type="containsText" dxfId="82" priority="187" operator="containsText" text="Pass">
      <formula>NOT(ISERROR(SEARCH("Pass",A6)))</formula>
    </cfRule>
  </conditionalFormatting>
  <conditionalFormatting sqref="A128:B128 G128">
    <cfRule type="containsText" dxfId="81" priority="18" operator="containsText" text="Fail (Not Enough BU's Achieved).">
      <formula>NOT(ISERROR(SEARCH("Fail (Not Enough BU's Achieved).",A128)))</formula>
    </cfRule>
    <cfRule type="containsText" dxfId="80" priority="19" operator="containsText" text="Pass">
      <formula>NOT(ISERROR(SEARCH("Pass",A128)))</formula>
    </cfRule>
  </conditionalFormatting>
  <conditionalFormatting sqref="A76:D76 A24:K75 A77:K122 H69:K76">
    <cfRule type="expression" dxfId="79" priority="62">
      <formula>$D$8=1</formula>
    </cfRule>
  </conditionalFormatting>
  <conditionalFormatting sqref="A76:D76 A35:K75 A77:K122 H69:K76">
    <cfRule type="expression" dxfId="78" priority="60">
      <formula>$D$8=2</formula>
    </cfRule>
  </conditionalFormatting>
  <conditionalFormatting sqref="A76:D76 A46:K75 A77:K122 H69:K76">
    <cfRule type="expression" dxfId="77" priority="59">
      <formula>$D$8=3</formula>
    </cfRule>
  </conditionalFormatting>
  <conditionalFormatting sqref="A76:D76 A57:K75 A77:K122 H69:K76">
    <cfRule type="expression" dxfId="76" priority="58">
      <formula>$D$8=4</formula>
    </cfRule>
  </conditionalFormatting>
  <conditionalFormatting sqref="A76:D76 A68:K75 A77:K122 H69:K76">
    <cfRule type="expression" dxfId="75" priority="57">
      <formula>$D$8=5</formula>
    </cfRule>
  </conditionalFormatting>
  <conditionalFormatting sqref="A146:K244">
    <cfRule type="expression" dxfId="74" priority="17">
      <formula>$D$130=1</formula>
    </cfRule>
  </conditionalFormatting>
  <conditionalFormatting sqref="A157:K244">
    <cfRule type="expression" dxfId="73" priority="16">
      <formula>$D$130=2</formula>
    </cfRule>
  </conditionalFormatting>
  <conditionalFormatting sqref="A168:K244">
    <cfRule type="expression" dxfId="72" priority="15">
      <formula>$D$130=3</formula>
    </cfRule>
  </conditionalFormatting>
  <conditionalFormatting sqref="A179:K244">
    <cfRule type="expression" dxfId="71" priority="14">
      <formula>$D$130=4</formula>
    </cfRule>
  </conditionalFormatting>
  <conditionalFormatting sqref="A190:K244">
    <cfRule type="expression" dxfId="70" priority="13">
      <formula>$D$130=5</formula>
    </cfRule>
  </conditionalFormatting>
  <conditionalFormatting sqref="A201:K244">
    <cfRule type="expression" dxfId="69" priority="12">
      <formula>$D$130=6</formula>
    </cfRule>
  </conditionalFormatting>
  <conditionalFormatting sqref="A212:K244">
    <cfRule type="expression" dxfId="68" priority="11">
      <formula>$D$130=7</formula>
    </cfRule>
  </conditionalFormatting>
  <conditionalFormatting sqref="A223:K244">
    <cfRule type="expression" dxfId="67" priority="10">
      <formula>$D$130=8</formula>
    </cfRule>
  </conditionalFormatting>
  <conditionalFormatting sqref="A234:K244">
    <cfRule type="expression" dxfId="66" priority="9">
      <formula>$D$130=9</formula>
    </cfRule>
  </conditionalFormatting>
  <dataValidations count="2">
    <dataValidation type="whole" operator="lessThan" allowBlank="1" showInputMessage="1" showErrorMessage="1" error="Angles must less than 90 degree" sqref="D25:D30 D102:D107 D14:D19 D36:D41 D47:D52 D58:D63 D69:D74 D80:D85 D91:D96 D113:D118 D147:D152 D224:D229 D136:D141 D158:D163 D169:D174 D180:D185 D191:D196 D202:D207 D213:D218 D235:D240" xr:uid="{9F71E1EA-11B0-41C7-841B-0C1A1FAFE5F1}">
      <formula1>90</formula1>
    </dataValidation>
    <dataValidation type="whole" operator="lessThanOrEqual" allowBlank="1" showInputMessage="1" showErrorMessage="1" error="Maximum 10 bracing lines" sqref="D8 D130" xr:uid="{E3054290-D0DB-4B0F-98BB-88F1EBE0F221}">
      <formula1>10</formula1>
    </dataValidation>
  </dataValidations>
  <printOptions horizontalCentered="1" verticalCentered="1"/>
  <pageMargins left="0.70866141732283472" right="0.70866141732283472" top="0.74803149606299213" bottom="0.74803149606299213" header="0.31496062992125984" footer="0.31496062992125984"/>
  <pageSetup paperSize="192" scale="39" fitToWidth="4" fitToHeight="4" orientation="portrait" r:id="rId1"/>
  <rowBreaks count="1" manualBreakCount="1">
    <brk id="244" max="10" man="1"/>
  </rowBreaks>
  <ignoredErrors>
    <ignoredError sqref="B25:B26 B27:B30 B36:B41 B50 B47:B49 B51:B52 B58:B63 B69:B74 B80:B85 B91:B96 B102:B107 B113:B118 B14:B19 B136:B141 B147:B152 B158:B163 B169:B174 B180:B185 B191:B196 B202:B207 B213:B218 B224:B229 B235:B240"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F347745E-9C68-4737-B585-C38440FC267D}">
          <x14:formula1>
            <xm:f>'Product Spec'!$B:$B</xm:f>
          </x14:formula1>
          <xm:sqref>F102:F107 F14:F19 F25:F30 F36:F41 F47:F52 F58:F63 F69:F74 F80:F85 F91:F96 F113:F118 F224:F229 F136:F141 F147:F152 F158:F163 F169:F174 F180:F185 F191:F196 F202:F207 F213:F218 F235:F240</xm:sqref>
        </x14:dataValidation>
        <x14:dataValidation type="list" allowBlank="1" showInputMessage="1" showErrorMessage="1" xr:uid="{B43F6726-2C96-4086-948E-687965660A14}">
          <x14:formula1>
            <xm:f>'Product Spec'!$J:$J</xm:f>
          </x14:formula1>
          <xm:sqref>G14 G15 G16 G17 G18 G19 G25 G26 G28 G27 G29 G30 G36 G37 G38 G40 G39 G41 G47 G48 G49:G50 G51 G52 G58 G59 G61 G60 G62 G63 G70 G69 G71 G72 G74 G73 G80 G81 G82 G83 G84 G85 G91 G92 G93 G94 G95 G96 G102 G103 G104 G105 G106 G107 G113 G114 G116 G115 G117 G118 G136 G137 G139 G140 G141 G138 G147 G148 G149:G150 G151 G152 G158 G160 G159 G161 G162 G163 G169 G170 G171 G172 G173 G174 G180 G181 G182 G183 G184 G185 G191 G192 G193 G195 G194 G196 G203 G202 G204 G205 G206 G207 G213 G214 G215 G216 G217 G218 G224 G225 G226 G227 G228 G229 G235 G236 G237 G238 G239 G240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0E9F3-42F5-4C52-ABB2-385E0E9B8D83}">
  <sheetPr>
    <pageSetUpPr fitToPage="1"/>
  </sheetPr>
  <dimension ref="A1:AB244"/>
  <sheetViews>
    <sheetView zoomScaleNormal="100" zoomScaleSheetLayoutView="85" workbookViewId="0">
      <selection activeCell="H28" sqref="H28"/>
    </sheetView>
  </sheetViews>
  <sheetFormatPr defaultColWidth="0" defaultRowHeight="15.75" zeroHeight="1" x14ac:dyDescent="0.25"/>
  <cols>
    <col min="1" max="1" width="20.7109375" style="36" customWidth="1"/>
    <col min="2" max="2" width="4.7109375" style="36" customWidth="1"/>
    <col min="3" max="6" width="20.7109375" style="36" customWidth="1"/>
    <col min="7" max="7" width="25.7109375" style="36" customWidth="1"/>
    <col min="8" max="11" width="20.7109375" style="36" customWidth="1"/>
    <col min="12" max="12" width="0.7109375" style="45" customWidth="1"/>
    <col min="13" max="17" width="9.140625" style="45" hidden="1" customWidth="1"/>
    <col min="18" max="27" width="15.7109375" style="45" hidden="1" customWidth="1"/>
    <col min="28" max="28" width="9.140625" style="45" hidden="1" customWidth="1"/>
    <col min="29" max="16384" width="0" style="45" hidden="1"/>
  </cols>
  <sheetData>
    <row r="1" spans="1:28" s="8" customFormat="1" ht="50.1" customHeight="1" x14ac:dyDescent="0.25">
      <c r="A1" s="205" t="s">
        <v>171</v>
      </c>
      <c r="B1" s="206"/>
      <c r="C1" s="206"/>
      <c r="D1" s="206"/>
      <c r="E1" s="206"/>
      <c r="F1" s="206"/>
      <c r="G1" s="206"/>
      <c r="H1" s="206"/>
      <c r="I1" s="206"/>
      <c r="J1" s="206"/>
      <c r="K1" s="207"/>
      <c r="L1" s="46"/>
      <c r="T1" s="9" cm="1">
        <f t="array" ref="T1:V1">'Bracing demand'!F39:H39</f>
        <v>1230</v>
      </c>
      <c r="U1" s="8">
        <v>0</v>
      </c>
      <c r="V1" s="8">
        <v>0</v>
      </c>
      <c r="X1" s="9" cm="1">
        <f t="array" ref="X1:Z1">'Bracing demand'!C39:E39</f>
        <v>550</v>
      </c>
      <c r="Y1" s="8">
        <v>0</v>
      </c>
      <c r="Z1" s="8">
        <v>0</v>
      </c>
    </row>
    <row r="2" spans="1:28" s="8" customFormat="1" ht="26.25" x14ac:dyDescent="0.25">
      <c r="A2" s="177" t="s">
        <v>103</v>
      </c>
      <c r="B2" s="177"/>
      <c r="C2" s="177"/>
      <c r="D2" s="177"/>
      <c r="E2" s="177"/>
      <c r="F2" s="177"/>
      <c r="G2" s="177" t="s">
        <v>104</v>
      </c>
      <c r="H2" s="177"/>
      <c r="I2" s="177"/>
      <c r="J2" s="177"/>
      <c r="K2" s="177"/>
      <c r="L2" s="46"/>
      <c r="T2" s="9" cm="1">
        <f t="array" ref="T2:V2">'Bracing demand'!C54:E54</f>
        <v>936</v>
      </c>
      <c r="U2" s="8">
        <v>0</v>
      </c>
      <c r="V2" s="8">
        <v>0</v>
      </c>
      <c r="X2" s="9" cm="1">
        <f t="array" ref="X2:Z2">'Bracing demand'!C54:E54</f>
        <v>936</v>
      </c>
      <c r="Y2" s="8">
        <v>0</v>
      </c>
      <c r="Z2" s="8">
        <v>0</v>
      </c>
    </row>
    <row r="3" spans="1:28" s="8" customFormat="1" ht="26.25" x14ac:dyDescent="0.25">
      <c r="A3" s="166" t="s">
        <v>108</v>
      </c>
      <c r="B3" s="166"/>
      <c r="C3" s="166"/>
      <c r="D3" s="133">
        <f>IF('Bracing demand'!$DU$1=1,"#N/A",$X$1)</f>
        <v>550</v>
      </c>
      <c r="E3" s="133"/>
      <c r="F3" s="33" t="s">
        <v>106</v>
      </c>
      <c r="G3" s="168" t="s">
        <v>108</v>
      </c>
      <c r="H3" s="168"/>
      <c r="I3" s="133">
        <f>IF('Bracing demand'!$DU$1=1,"#N/A",$T$2)</f>
        <v>936</v>
      </c>
      <c r="J3" s="133"/>
      <c r="K3" s="33" t="s">
        <v>106</v>
      </c>
      <c r="L3" s="46"/>
      <c r="P3" s="10"/>
    </row>
    <row r="4" spans="1:28" s="8" customFormat="1" ht="26.25" x14ac:dyDescent="0.25">
      <c r="A4" s="166" t="s">
        <v>109</v>
      </c>
      <c r="B4" s="166"/>
      <c r="C4" s="166"/>
      <c r="D4" s="167">
        <f>ROUND(SUM(H20,H31,H42,H53,H64,H75,H86,H97,H108,H119),0)</f>
        <v>291</v>
      </c>
      <c r="E4" s="167"/>
      <c r="F4" s="33" t="s">
        <v>106</v>
      </c>
      <c r="G4" s="168" t="s">
        <v>109</v>
      </c>
      <c r="H4" s="168"/>
      <c r="I4" s="167">
        <f>ROUND(SUM(J20,J31,J42,J53,J64,J75,J86,J97,J108,J119),0)</f>
        <v>338</v>
      </c>
      <c r="J4" s="167"/>
      <c r="K4" s="33" t="s">
        <v>106</v>
      </c>
      <c r="L4" s="46"/>
    </row>
    <row r="5" spans="1:28" s="8" customFormat="1" ht="26.25" x14ac:dyDescent="0.25">
      <c r="A5" s="166" t="s">
        <v>110</v>
      </c>
      <c r="B5" s="166"/>
      <c r="C5" s="166"/>
      <c r="D5" s="167">
        <f>(D4/D125)*100</f>
        <v>23.658536585365852</v>
      </c>
      <c r="E5" s="167"/>
      <c r="F5" s="33" t="s">
        <v>105</v>
      </c>
      <c r="G5" s="168" t="s">
        <v>110</v>
      </c>
      <c r="H5" s="168"/>
      <c r="I5" s="167">
        <f>(I4/I3)*100</f>
        <v>36.111111111111107</v>
      </c>
      <c r="J5" s="167"/>
      <c r="K5" s="33" t="s">
        <v>105</v>
      </c>
      <c r="L5" s="46"/>
      <c r="AA5" s="8" t="s">
        <v>103</v>
      </c>
      <c r="AB5" s="8" t="s">
        <v>131</v>
      </c>
    </row>
    <row r="6" spans="1:28" s="8" customFormat="1" ht="24.95" customHeight="1" x14ac:dyDescent="0.25">
      <c r="A6" s="97" t="str">
        <f>IF(D5&gt;=100,"Pass","Fail (Not Enough BU's Achieved).")</f>
        <v>Fail (Not Enough BU's Achieved).</v>
      </c>
      <c r="B6" s="97"/>
      <c r="C6" s="97"/>
      <c r="D6" s="97"/>
      <c r="E6" s="97"/>
      <c r="F6" s="97"/>
      <c r="G6" s="97" t="str">
        <f>IF(I5&gt;=100,"Pass","Fail (Not Enough BU's Achieved).")</f>
        <v>Fail (Not Enough BU's Achieved).</v>
      </c>
      <c r="H6" s="97"/>
      <c r="I6" s="97"/>
      <c r="J6" s="97"/>
      <c r="K6" s="97"/>
      <c r="L6" s="46"/>
    </row>
    <row r="7" spans="1:28" s="8" customFormat="1" ht="24.95" customHeight="1" x14ac:dyDescent="0.25">
      <c r="A7" s="97"/>
      <c r="B7" s="97"/>
      <c r="C7" s="97"/>
      <c r="D7" s="97"/>
      <c r="E7" s="97"/>
      <c r="F7" s="97"/>
      <c r="G7" s="97"/>
      <c r="H7" s="97"/>
      <c r="I7" s="97"/>
      <c r="J7" s="97"/>
      <c r="K7" s="97"/>
      <c r="L7" s="46"/>
    </row>
    <row r="8" spans="1:28" s="8" customFormat="1" ht="9.9499999999999993" customHeight="1" x14ac:dyDescent="0.25">
      <c r="A8" s="186" t="s">
        <v>107</v>
      </c>
      <c r="B8" s="186"/>
      <c r="C8" s="186"/>
      <c r="D8" s="187">
        <v>10</v>
      </c>
      <c r="E8" s="102" t="s">
        <v>167</v>
      </c>
      <c r="F8" s="102"/>
      <c r="G8" s="102"/>
      <c r="H8" s="102"/>
      <c r="I8" s="102"/>
      <c r="J8" s="102"/>
      <c r="K8" s="102"/>
      <c r="L8" s="46"/>
    </row>
    <row r="9" spans="1:28" s="8" customFormat="1" ht="9.9499999999999993" customHeight="1" x14ac:dyDescent="0.25">
      <c r="A9" s="186"/>
      <c r="B9" s="186"/>
      <c r="C9" s="186"/>
      <c r="D9" s="187"/>
      <c r="E9" s="102"/>
      <c r="F9" s="102"/>
      <c r="G9" s="102"/>
      <c r="H9" s="102"/>
      <c r="I9" s="102"/>
      <c r="J9" s="102"/>
      <c r="K9" s="102"/>
      <c r="L9" s="46"/>
    </row>
    <row r="10" spans="1:28" s="8" customFormat="1" ht="9.9499999999999993" customHeight="1" x14ac:dyDescent="0.25">
      <c r="A10" s="186"/>
      <c r="B10" s="186"/>
      <c r="C10" s="186"/>
      <c r="D10" s="187"/>
      <c r="E10" s="102"/>
      <c r="F10" s="102"/>
      <c r="G10" s="102"/>
      <c r="H10" s="102"/>
      <c r="I10" s="102"/>
      <c r="J10" s="102"/>
      <c r="K10" s="102"/>
      <c r="L10" s="46"/>
    </row>
    <row r="11" spans="1:28" s="8" customFormat="1" ht="15" customHeight="1" x14ac:dyDescent="0.25">
      <c r="A11" s="199"/>
      <c r="B11" s="192"/>
      <c r="C11" s="192"/>
      <c r="D11" s="192"/>
      <c r="E11" s="192"/>
      <c r="F11" s="192"/>
      <c r="G11" s="192"/>
      <c r="H11" s="192"/>
      <c r="I11" s="192"/>
      <c r="J11" s="192"/>
      <c r="K11" s="200"/>
      <c r="L11" s="45"/>
    </row>
    <row r="12" spans="1:28" s="8" customFormat="1" ht="15" customHeight="1" x14ac:dyDescent="0.25">
      <c r="A12" s="130"/>
      <c r="B12" s="131"/>
      <c r="C12" s="131"/>
      <c r="D12" s="131"/>
      <c r="E12" s="131"/>
      <c r="F12" s="131"/>
      <c r="G12" s="132"/>
      <c r="H12" s="109" t="s">
        <v>103</v>
      </c>
      <c r="I12" s="111"/>
      <c r="J12" s="109" t="s">
        <v>104</v>
      </c>
      <c r="K12" s="111"/>
      <c r="L12" s="45"/>
    </row>
    <row r="13" spans="1:28" s="8" customFormat="1" ht="15" customHeight="1" x14ac:dyDescent="0.25">
      <c r="A13" s="33" t="s">
        <v>83</v>
      </c>
      <c r="B13" s="33" t="s">
        <v>198</v>
      </c>
      <c r="C13" s="34" t="s">
        <v>86</v>
      </c>
      <c r="D13" s="33" t="s">
        <v>87</v>
      </c>
      <c r="E13" s="33" t="s">
        <v>111</v>
      </c>
      <c r="F13" s="33" t="s">
        <v>84</v>
      </c>
      <c r="G13" s="33" t="s">
        <v>85</v>
      </c>
      <c r="H13" s="24" t="s">
        <v>165</v>
      </c>
      <c r="I13" s="24" t="s">
        <v>169</v>
      </c>
      <c r="J13" s="24" t="s">
        <v>165</v>
      </c>
      <c r="K13" s="24" t="s">
        <v>169</v>
      </c>
      <c r="L13" s="45"/>
      <c r="V13" s="8" t="s">
        <v>164</v>
      </c>
    </row>
    <row r="14" spans="1:28" s="8" customFormat="1" ht="15" customHeight="1" x14ac:dyDescent="0.25">
      <c r="A14" s="237" t="s">
        <v>13</v>
      </c>
      <c r="B14" s="20" t="s">
        <v>199</v>
      </c>
      <c r="C14" s="19"/>
      <c r="D14" s="17"/>
      <c r="E14" s="16"/>
      <c r="F14" s="18"/>
      <c r="G14" s="18" t="s">
        <v>134</v>
      </c>
      <c r="H14" s="37" t="str">
        <f>IFERROR(VLOOKUP(F14,'Product Spec'!B:D,2,FALSE)," ")</f>
        <v xml:space="preserve"> </v>
      </c>
      <c r="I14" s="37" t="str">
        <f>IFERROR(C14*H14*P14*MIN(1,2.4/E14)," ")</f>
        <v xml:space="preserve"> </v>
      </c>
      <c r="J14" s="37" t="str">
        <f>IFERROR(VLOOKUP(F14,'Product Spec'!B:D,3,FALSE)," ")</f>
        <v xml:space="preserve"> </v>
      </c>
      <c r="K14" s="37" t="str">
        <f>IFERROR(C14*J14*P14*MIN(1,2.4/E14)," ")</f>
        <v xml:space="preserve"> </v>
      </c>
      <c r="L14" s="45"/>
      <c r="P14" s="8">
        <f>IF(OR(D14=30,D14=45,D14=60),Q14,COS(R14))</f>
        <v>1</v>
      </c>
      <c r="Q14" s="8" t="e" cm="1">
        <f t="array" ref="Q14">_xlfn.IFS(D14=30,0.87,D14=45,0.7,D14=60,0.5)</f>
        <v>#N/A</v>
      </c>
      <c r="R14" s="8">
        <f>(PI()/180)*D14</f>
        <v>0</v>
      </c>
      <c r="S14" s="8">
        <f>H20/H21</f>
        <v>0</v>
      </c>
      <c r="V14" s="8">
        <f xml:space="preserve"> C21*15</f>
        <v>0</v>
      </c>
    </row>
    <row r="15" spans="1:28" s="8" customFormat="1" ht="15" customHeight="1" x14ac:dyDescent="0.25">
      <c r="A15" s="237"/>
      <c r="B15" s="20" t="s">
        <v>200</v>
      </c>
      <c r="C15" s="19"/>
      <c r="D15" s="17"/>
      <c r="E15" s="16"/>
      <c r="F15" s="18"/>
      <c r="G15" s="18"/>
      <c r="H15" s="37" t="str">
        <f>IFERROR(VLOOKUP(F15,'Product Spec'!B:D,2,FALSE)," ")</f>
        <v xml:space="preserve"> </v>
      </c>
      <c r="I15" s="37" t="str">
        <f t="shared" ref="I15:I19" si="0">IFERROR(C15*H15*P15*MIN(1,2.4/E15)," ")</f>
        <v xml:space="preserve"> </v>
      </c>
      <c r="J15" s="37" t="str">
        <f>IFERROR(VLOOKUP(F15,'Product Spec'!B:D,3,FALSE)," ")</f>
        <v xml:space="preserve"> </v>
      </c>
      <c r="K15" s="37" t="str">
        <f t="shared" ref="K15:K19" si="1">IFERROR(C15*J15*P15*MIN(1,2.4/E15)," ")</f>
        <v xml:space="preserve"> </v>
      </c>
      <c r="L15" s="45"/>
      <c r="P15" s="8">
        <f t="shared" ref="P15:P19" si="2">IF(OR(D15=30,D15=45,D15=60),Q15,COS(R15))</f>
        <v>1</v>
      </c>
      <c r="Q15" s="8" t="e" cm="1">
        <f t="array" ref="Q15">_xlfn.IFS(D15=30,0.87,D15=45,0.7,D15=60,0.5)</f>
        <v>#N/A</v>
      </c>
      <c r="R15" s="8">
        <f t="shared" ref="R15:R19" si="3">(PI()/180)*D15</f>
        <v>0</v>
      </c>
      <c r="S15" s="8">
        <f>J20/J21</f>
        <v>0</v>
      </c>
    </row>
    <row r="16" spans="1:28" s="8" customFormat="1" ht="15" customHeight="1" x14ac:dyDescent="0.25">
      <c r="A16" s="237"/>
      <c r="B16" s="20" t="s">
        <v>201</v>
      </c>
      <c r="C16" s="19"/>
      <c r="D16" s="17"/>
      <c r="E16" s="16"/>
      <c r="F16" s="18"/>
      <c r="G16" s="18"/>
      <c r="H16" s="37" t="str">
        <f>IFERROR(VLOOKUP(F16,'Product Spec'!B:D,2,FALSE)," ")</f>
        <v xml:space="preserve"> </v>
      </c>
      <c r="I16" s="37" t="str">
        <f t="shared" si="0"/>
        <v xml:space="preserve"> </v>
      </c>
      <c r="J16" s="37" t="str">
        <f>IFERROR(VLOOKUP(F16,'Product Spec'!B:D,3,FALSE)," ")</f>
        <v xml:space="preserve"> </v>
      </c>
      <c r="K16" s="37" t="str">
        <f t="shared" si="1"/>
        <v xml:space="preserve"> </v>
      </c>
      <c r="L16" s="45"/>
      <c r="P16" s="8">
        <f t="shared" si="2"/>
        <v>1</v>
      </c>
      <c r="Q16" s="8" t="e" cm="1">
        <f t="array" ref="Q16">_xlfn.IFS(D16=30,0.87,D16=45,0.7,D16=60,0.5)</f>
        <v>#N/A</v>
      </c>
      <c r="R16" s="8">
        <f t="shared" si="3"/>
        <v>0</v>
      </c>
    </row>
    <row r="17" spans="1:22" s="8" customFormat="1" ht="15" customHeight="1" x14ac:dyDescent="0.25">
      <c r="A17" s="237"/>
      <c r="B17" s="20" t="s">
        <v>202</v>
      </c>
      <c r="C17" s="19"/>
      <c r="D17" s="17"/>
      <c r="E17" s="16"/>
      <c r="F17" s="18"/>
      <c r="G17" s="18"/>
      <c r="H17" s="37" t="str">
        <f>IFERROR(VLOOKUP(F17,'Product Spec'!B:D,2,FALSE)," ")</f>
        <v xml:space="preserve"> </v>
      </c>
      <c r="I17" s="37" t="str">
        <f t="shared" si="0"/>
        <v xml:space="preserve"> </v>
      </c>
      <c r="J17" s="37" t="str">
        <f>IFERROR(VLOOKUP(F17,'Product Spec'!B:D,3,FALSE)," ")</f>
        <v xml:space="preserve"> </v>
      </c>
      <c r="K17" s="37" t="str">
        <f t="shared" si="1"/>
        <v xml:space="preserve"> </v>
      </c>
      <c r="L17" s="45"/>
      <c r="P17" s="8">
        <f t="shared" si="2"/>
        <v>1</v>
      </c>
      <c r="Q17" s="8" t="e" cm="1">
        <f t="array" ref="Q17">_xlfn.IFS(D17=30,0.87,D17=45,0.7,D17=60,0.5)</f>
        <v>#N/A</v>
      </c>
      <c r="R17" s="8">
        <f t="shared" si="3"/>
        <v>0</v>
      </c>
    </row>
    <row r="18" spans="1:22" s="8" customFormat="1" ht="15" customHeight="1" x14ac:dyDescent="0.25">
      <c r="A18" s="237"/>
      <c r="B18" s="20" t="s">
        <v>203</v>
      </c>
      <c r="C18" s="19"/>
      <c r="D18" s="17"/>
      <c r="E18" s="16"/>
      <c r="F18" s="18"/>
      <c r="G18" s="18"/>
      <c r="H18" s="37" t="str">
        <f>IFERROR(VLOOKUP(F18,'Product Spec'!B:D,2,FALSE)," ")</f>
        <v xml:space="preserve"> </v>
      </c>
      <c r="I18" s="37" t="str">
        <f t="shared" si="0"/>
        <v xml:space="preserve"> </v>
      </c>
      <c r="J18" s="37" t="str">
        <f>IFERROR(VLOOKUP(F18,'Product Spec'!B:D,3,FALSE)," ")</f>
        <v xml:space="preserve"> </v>
      </c>
      <c r="K18" s="37" t="str">
        <f t="shared" si="1"/>
        <v xml:space="preserve"> </v>
      </c>
      <c r="L18" s="45"/>
      <c r="P18" s="8">
        <f t="shared" si="2"/>
        <v>1</v>
      </c>
      <c r="Q18" s="8" t="e" cm="1">
        <f t="array" ref="Q18">_xlfn.IFS(D18=30,0.87,D18=45,0.7,D18=60,0.5)</f>
        <v>#N/A</v>
      </c>
      <c r="R18" s="8">
        <f t="shared" si="3"/>
        <v>0</v>
      </c>
    </row>
    <row r="19" spans="1:22" s="8" customFormat="1" ht="15" customHeight="1" x14ac:dyDescent="0.25">
      <c r="A19" s="237"/>
      <c r="B19" s="20" t="s">
        <v>204</v>
      </c>
      <c r="C19" s="19"/>
      <c r="D19" s="17"/>
      <c r="E19" s="16"/>
      <c r="F19" s="18"/>
      <c r="G19" s="18"/>
      <c r="H19" s="37" t="str">
        <f>IFERROR(VLOOKUP(F19,'Product Spec'!B:D,2,FALSE)," ")</f>
        <v xml:space="preserve"> </v>
      </c>
      <c r="I19" s="37" t="str">
        <f t="shared" si="0"/>
        <v xml:space="preserve"> </v>
      </c>
      <c r="J19" s="37" t="str">
        <f>IFERROR(VLOOKUP(F19,'Product Spec'!B:D,3,FALSE)," ")</f>
        <v xml:space="preserve"> </v>
      </c>
      <c r="K19" s="37" t="str">
        <f t="shared" si="1"/>
        <v xml:space="preserve"> </v>
      </c>
      <c r="L19" s="45"/>
      <c r="P19" s="8">
        <f t="shared" si="2"/>
        <v>1</v>
      </c>
      <c r="Q19" s="8" t="e" cm="1">
        <f t="array" ref="Q19">_xlfn.IFS(D19=30,0.87,D19=45,0.7,D19=60,0.5)</f>
        <v>#N/A</v>
      </c>
      <c r="R19" s="8">
        <f t="shared" si="3"/>
        <v>0</v>
      </c>
    </row>
    <row r="20" spans="1:22" s="8" customFormat="1" ht="15" customHeight="1" x14ac:dyDescent="0.25">
      <c r="A20" s="237"/>
      <c r="B20" s="98" t="s">
        <v>170</v>
      </c>
      <c r="C20" s="99"/>
      <c r="D20" s="99"/>
      <c r="E20" s="99"/>
      <c r="F20" s="99"/>
      <c r="G20" s="100"/>
      <c r="H20" s="179" cm="1">
        <f t="array" ref="H20">SUM(IFERROR(I14:I19,0))</f>
        <v>0</v>
      </c>
      <c r="I20" s="180"/>
      <c r="J20" s="179" cm="1">
        <f t="array" ref="J20">SUM(IFERROR(K14:K19,0))</f>
        <v>0</v>
      </c>
      <c r="K20" s="180"/>
      <c r="L20" s="45"/>
    </row>
    <row r="21" spans="1:22" s="8" customFormat="1" ht="15" customHeight="1" x14ac:dyDescent="0.25">
      <c r="A21" s="35" t="s">
        <v>168</v>
      </c>
      <c r="B21" s="160"/>
      <c r="C21" s="161"/>
      <c r="D21" s="99" t="s">
        <v>166</v>
      </c>
      <c r="E21" s="99"/>
      <c r="F21" s="99"/>
      <c r="G21" s="100"/>
      <c r="H21" s="150">
        <f>MAX(100,(0.5*$D$3)/$D$8,V14)</f>
        <v>100</v>
      </c>
      <c r="I21" s="151"/>
      <c r="J21" s="150">
        <f>MAX(100,(0.5*$I$3)/$D$8,V14)</f>
        <v>100</v>
      </c>
      <c r="K21" s="151"/>
      <c r="L21" s="45"/>
    </row>
    <row r="22" spans="1:22" customFormat="1" ht="15" customHeight="1" x14ac:dyDescent="0.25">
      <c r="A22" s="197" t="str">
        <f>IF(OR(S14&lt;1,S15&lt;1),"Warning: Doesn’t meet the minimum BU's requirement per line."," ")</f>
        <v>Warning: Doesn’t meet the minimum BU's requirement per line.</v>
      </c>
      <c r="B22" s="154"/>
      <c r="C22" s="154"/>
      <c r="D22" s="154"/>
      <c r="E22" s="154"/>
      <c r="F22" s="154"/>
      <c r="G22" s="154"/>
      <c r="H22" s="154"/>
      <c r="I22" s="154"/>
      <c r="J22" s="154"/>
      <c r="K22" s="198"/>
      <c r="L22" s="45"/>
    </row>
    <row r="23" spans="1:22" s="8" customFormat="1" ht="15" customHeight="1" x14ac:dyDescent="0.25">
      <c r="A23" s="201"/>
      <c r="B23" s="157"/>
      <c r="C23" s="157"/>
      <c r="D23" s="157"/>
      <c r="E23" s="157"/>
      <c r="F23" s="157"/>
      <c r="G23" s="157"/>
      <c r="H23" s="157"/>
      <c r="I23" s="157"/>
      <c r="J23" s="157"/>
      <c r="K23" s="202"/>
      <c r="L23" s="45"/>
      <c r="M23"/>
      <c r="N23"/>
      <c r="O23"/>
      <c r="P23"/>
      <c r="Q23"/>
      <c r="R23"/>
      <c r="S23"/>
      <c r="T23"/>
      <c r="U23"/>
      <c r="V23"/>
    </row>
    <row r="24" spans="1:22" s="8" customFormat="1" ht="15" customHeight="1" x14ac:dyDescent="0.25">
      <c r="A24" s="33" t="s">
        <v>83</v>
      </c>
      <c r="B24" s="33" t="s">
        <v>198</v>
      </c>
      <c r="C24" s="34" t="s">
        <v>86</v>
      </c>
      <c r="D24" s="33" t="s">
        <v>87</v>
      </c>
      <c r="E24" s="33" t="s">
        <v>111</v>
      </c>
      <c r="F24" s="33" t="s">
        <v>84</v>
      </c>
      <c r="G24" s="33" t="s">
        <v>85</v>
      </c>
      <c r="H24" s="24" t="s">
        <v>165</v>
      </c>
      <c r="I24" s="24" t="s">
        <v>169</v>
      </c>
      <c r="J24" s="24" t="s">
        <v>165</v>
      </c>
      <c r="K24" s="24" t="s">
        <v>169</v>
      </c>
      <c r="L24" s="45"/>
      <c r="V24" s="8" t="s">
        <v>164</v>
      </c>
    </row>
    <row r="25" spans="1:22" s="8" customFormat="1" ht="15" customHeight="1" x14ac:dyDescent="0.25">
      <c r="A25" s="237" t="s">
        <v>39</v>
      </c>
      <c r="B25" s="20" t="s">
        <v>199</v>
      </c>
      <c r="C25" s="19">
        <v>1</v>
      </c>
      <c r="D25" s="17"/>
      <c r="E25" s="16">
        <v>1</v>
      </c>
      <c r="F25" s="18" t="s">
        <v>132</v>
      </c>
      <c r="G25" s="18"/>
      <c r="H25" s="37">
        <f>IFERROR(VLOOKUP(F25,'Product Spec'!B:D,2,FALSE)," ")</f>
        <v>81</v>
      </c>
      <c r="I25" s="37">
        <f>IFERROR(C25*H25*P25*MIN(1,2.4/E25)," ")</f>
        <v>81</v>
      </c>
      <c r="J25" s="37">
        <f>IFERROR(VLOOKUP(F25,'Product Spec'!B:D,3,FALSE)," ")</f>
        <v>94</v>
      </c>
      <c r="K25" s="37">
        <f>IFERROR(C25*J25*P25*MIN(1,2.4/E25)," ")</f>
        <v>94</v>
      </c>
      <c r="L25" s="45"/>
      <c r="P25" s="8">
        <f>IF(OR(D25=30,D25=45,D25=60),Q25,COS(R25))</f>
        <v>1</v>
      </c>
      <c r="Q25" s="8" t="e" cm="1">
        <f t="array" ref="Q25">_xlfn.IFS(D25=30,0.87,D25=45,0.7,D25=60,0.5)</f>
        <v>#N/A</v>
      </c>
      <c r="R25" s="8">
        <f>(PI()/180)*D25</f>
        <v>0</v>
      </c>
      <c r="S25" s="8">
        <f>H31/H32</f>
        <v>0.81</v>
      </c>
      <c r="V25" s="8">
        <f xml:space="preserve"> C32*15</f>
        <v>0</v>
      </c>
    </row>
    <row r="26" spans="1:22" s="8" customFormat="1" ht="15" customHeight="1" x14ac:dyDescent="0.25">
      <c r="A26" s="237"/>
      <c r="B26" s="20" t="s">
        <v>200</v>
      </c>
      <c r="C26" s="19"/>
      <c r="D26" s="17"/>
      <c r="E26" s="16"/>
      <c r="F26" s="18"/>
      <c r="G26" s="18"/>
      <c r="H26" s="37" t="str">
        <f>IFERROR(VLOOKUP(F26,'Product Spec'!B:D,2,FALSE)," ")</f>
        <v xml:space="preserve"> </v>
      </c>
      <c r="I26" s="37" t="str">
        <f t="shared" ref="I26:I30" si="4">IFERROR(C26*H26*P26*MIN(1,2.4/E26)," ")</f>
        <v xml:space="preserve"> </v>
      </c>
      <c r="J26" s="37" t="str">
        <f>IFERROR(VLOOKUP(F26,'Product Spec'!B:D,3,FALSE)," ")</f>
        <v xml:space="preserve"> </v>
      </c>
      <c r="K26" s="37" t="str">
        <f t="shared" ref="K26:K30" si="5">IFERROR(C26*J26*P26*MIN(1,2.4/E26)," ")</f>
        <v xml:space="preserve"> </v>
      </c>
      <c r="L26" s="45"/>
      <c r="P26" s="8">
        <f t="shared" ref="P26:P30" si="6">IF(OR(D26=30,D26=45,D26=60),Q26,COS(R26))</f>
        <v>1</v>
      </c>
      <c r="Q26" s="8" t="e" cm="1">
        <f t="array" ref="Q26">_xlfn.IFS(D26=30,0.87,D26=45,0.7,D26=60,0.5)</f>
        <v>#N/A</v>
      </c>
      <c r="R26" s="8">
        <f t="shared" ref="R26:R30" si="7">(PI()/180)*D26</f>
        <v>0</v>
      </c>
      <c r="S26" s="8">
        <f>J31/J32</f>
        <v>0.94</v>
      </c>
    </row>
    <row r="27" spans="1:22" s="8" customFormat="1" ht="15" customHeight="1" x14ac:dyDescent="0.25">
      <c r="A27" s="237"/>
      <c r="B27" s="20" t="s">
        <v>201</v>
      </c>
      <c r="C27" s="19"/>
      <c r="D27" s="17"/>
      <c r="E27" s="16"/>
      <c r="F27" s="18"/>
      <c r="G27" s="18"/>
      <c r="H27" s="37" t="str">
        <f>IFERROR(VLOOKUP(F27,'Product Spec'!B:D,2,FALSE)," ")</f>
        <v xml:space="preserve"> </v>
      </c>
      <c r="I27" s="37" t="str">
        <f t="shared" si="4"/>
        <v xml:space="preserve"> </v>
      </c>
      <c r="J27" s="37" t="str">
        <f>IFERROR(VLOOKUP(F27,'Product Spec'!B:D,3,FALSE)," ")</f>
        <v xml:space="preserve"> </v>
      </c>
      <c r="K27" s="37" t="str">
        <f t="shared" si="5"/>
        <v xml:space="preserve"> </v>
      </c>
      <c r="L27" s="45"/>
      <c r="P27" s="8">
        <f t="shared" si="6"/>
        <v>1</v>
      </c>
      <c r="Q27" s="8" t="e" cm="1">
        <f t="array" ref="Q27">_xlfn.IFS(D27=30,0.87,D27=45,0.7,D27=60,0.5)</f>
        <v>#N/A</v>
      </c>
      <c r="R27" s="8">
        <f t="shared" si="7"/>
        <v>0</v>
      </c>
    </row>
    <row r="28" spans="1:22" s="8" customFormat="1" ht="15" customHeight="1" x14ac:dyDescent="0.25">
      <c r="A28" s="237"/>
      <c r="B28" s="20" t="s">
        <v>202</v>
      </c>
      <c r="C28" s="19"/>
      <c r="D28" s="17"/>
      <c r="E28" s="16"/>
      <c r="F28" s="18"/>
      <c r="G28" s="18"/>
      <c r="H28" s="37" t="str">
        <f>IFERROR(VLOOKUP(F28,'Product Spec'!B:D,2,FALSE)," ")</f>
        <v xml:space="preserve"> </v>
      </c>
      <c r="I28" s="37" t="str">
        <f t="shared" si="4"/>
        <v xml:space="preserve"> </v>
      </c>
      <c r="J28" s="37" t="str">
        <f>IFERROR(VLOOKUP(F28,'Product Spec'!B:D,3,FALSE)," ")</f>
        <v xml:space="preserve"> </v>
      </c>
      <c r="K28" s="37" t="str">
        <f t="shared" si="5"/>
        <v xml:space="preserve"> </v>
      </c>
      <c r="L28" s="45"/>
      <c r="P28" s="8">
        <f t="shared" si="6"/>
        <v>1</v>
      </c>
      <c r="Q28" s="8" t="e" cm="1">
        <f t="array" ref="Q28">_xlfn.IFS(D28=30,0.87,D28=45,0.7,D28=60,0.5)</f>
        <v>#N/A</v>
      </c>
      <c r="R28" s="8">
        <f t="shared" si="7"/>
        <v>0</v>
      </c>
    </row>
    <row r="29" spans="1:22" s="8" customFormat="1" ht="15" customHeight="1" x14ac:dyDescent="0.25">
      <c r="A29" s="237"/>
      <c r="B29" s="20" t="s">
        <v>203</v>
      </c>
      <c r="C29" s="19"/>
      <c r="D29" s="17"/>
      <c r="E29" s="16"/>
      <c r="F29" s="18"/>
      <c r="G29" s="18"/>
      <c r="H29" s="37" t="str">
        <f>IFERROR(VLOOKUP(F29,'Product Spec'!B:D,2,FALSE)," ")</f>
        <v xml:space="preserve"> </v>
      </c>
      <c r="I29" s="37" t="str">
        <f t="shared" si="4"/>
        <v xml:space="preserve"> </v>
      </c>
      <c r="J29" s="37" t="str">
        <f>IFERROR(VLOOKUP(F29,'Product Spec'!B:D,3,FALSE)," ")</f>
        <v xml:space="preserve"> </v>
      </c>
      <c r="K29" s="37" t="str">
        <f t="shared" si="5"/>
        <v xml:space="preserve"> </v>
      </c>
      <c r="L29" s="45"/>
      <c r="P29" s="8">
        <f t="shared" si="6"/>
        <v>1</v>
      </c>
      <c r="Q29" s="8" t="e" cm="1">
        <f t="array" ref="Q29">_xlfn.IFS(D29=30,0.87,D29=45,0.7,D29=60,0.5)</f>
        <v>#N/A</v>
      </c>
      <c r="R29" s="8">
        <f t="shared" si="7"/>
        <v>0</v>
      </c>
    </row>
    <row r="30" spans="1:22" s="8" customFormat="1" ht="15" customHeight="1" x14ac:dyDescent="0.25">
      <c r="A30" s="237"/>
      <c r="B30" s="20" t="s">
        <v>204</v>
      </c>
      <c r="C30" s="19"/>
      <c r="D30" s="17"/>
      <c r="E30" s="16"/>
      <c r="F30" s="18"/>
      <c r="G30" s="18"/>
      <c r="H30" s="37" t="str">
        <f>IFERROR(VLOOKUP(F30,'Product Spec'!B:D,2,FALSE)," ")</f>
        <v xml:space="preserve"> </v>
      </c>
      <c r="I30" s="37" t="str">
        <f t="shared" si="4"/>
        <v xml:space="preserve"> </v>
      </c>
      <c r="J30" s="37" t="str">
        <f>IFERROR(VLOOKUP(F30,'Product Spec'!B:D,3,FALSE)," ")</f>
        <v xml:space="preserve"> </v>
      </c>
      <c r="K30" s="37" t="str">
        <f t="shared" si="5"/>
        <v xml:space="preserve"> </v>
      </c>
      <c r="L30" s="45"/>
      <c r="P30" s="8">
        <f t="shared" si="6"/>
        <v>1</v>
      </c>
      <c r="Q30" s="8" t="e" cm="1">
        <f t="array" ref="Q30">_xlfn.IFS(D30=30,0.87,D30=45,0.7,D30=60,0.5)</f>
        <v>#N/A</v>
      </c>
      <c r="R30" s="8">
        <f t="shared" si="7"/>
        <v>0</v>
      </c>
    </row>
    <row r="31" spans="1:22" s="8" customFormat="1" ht="15" customHeight="1" x14ac:dyDescent="0.25">
      <c r="A31" s="237"/>
      <c r="B31" s="98" t="s">
        <v>170</v>
      </c>
      <c r="C31" s="99"/>
      <c r="D31" s="99"/>
      <c r="E31" s="99"/>
      <c r="F31" s="99"/>
      <c r="G31" s="100"/>
      <c r="H31" s="179" cm="1">
        <f t="array" ref="H31">IF(D8&lt;2,0,SUM(IFERROR(I25:I30,0)))</f>
        <v>81</v>
      </c>
      <c r="I31" s="180"/>
      <c r="J31" s="179" cm="1">
        <f t="array" ref="J31">IF(D8&lt;2,0,SUM(IFERROR(K25:K30,0)))</f>
        <v>94</v>
      </c>
      <c r="K31" s="180"/>
      <c r="L31" s="45"/>
    </row>
    <row r="32" spans="1:22" s="8" customFormat="1" ht="15" customHeight="1" x14ac:dyDescent="0.25">
      <c r="A32" s="35" t="s">
        <v>168</v>
      </c>
      <c r="B32" s="160"/>
      <c r="C32" s="161"/>
      <c r="D32" s="99" t="s">
        <v>166</v>
      </c>
      <c r="E32" s="99"/>
      <c r="F32" s="99"/>
      <c r="G32" s="100"/>
      <c r="H32" s="150">
        <f>MAX(100,(0.5*$D$3)/$D$8,V25)</f>
        <v>100</v>
      </c>
      <c r="I32" s="151"/>
      <c r="J32" s="150">
        <f>MAX(100,(0.5*$I$3)/$D$8,V25)</f>
        <v>100</v>
      </c>
      <c r="K32" s="151"/>
      <c r="L32" s="45"/>
    </row>
    <row r="33" spans="1:22" customFormat="1" ht="15" customHeight="1" x14ac:dyDescent="0.25">
      <c r="A33" s="197" t="str">
        <f>IF(OR(S25&lt;1,S26&lt;1),"Warning: Doesn’t meet the minimum BU's requirement per line."," ")</f>
        <v>Warning: Doesn’t meet the minimum BU's requirement per line.</v>
      </c>
      <c r="B33" s="154"/>
      <c r="C33" s="154"/>
      <c r="D33" s="154"/>
      <c r="E33" s="154"/>
      <c r="F33" s="154"/>
      <c r="G33" s="154"/>
      <c r="H33" s="154"/>
      <c r="I33" s="154"/>
      <c r="J33" s="154"/>
      <c r="K33" s="198"/>
      <c r="L33" s="45"/>
    </row>
    <row r="34" spans="1:22" s="8" customFormat="1" ht="15" customHeight="1" x14ac:dyDescent="0.25">
      <c r="A34" s="201"/>
      <c r="B34" s="157"/>
      <c r="C34" s="157"/>
      <c r="D34" s="157"/>
      <c r="E34" s="157"/>
      <c r="F34" s="157"/>
      <c r="G34" s="157"/>
      <c r="H34" s="157"/>
      <c r="I34" s="157"/>
      <c r="J34" s="157"/>
      <c r="K34" s="202"/>
      <c r="L34" s="45"/>
      <c r="M34"/>
      <c r="N34"/>
      <c r="O34"/>
      <c r="P34"/>
      <c r="Q34"/>
      <c r="R34"/>
      <c r="S34"/>
      <c r="T34"/>
      <c r="U34"/>
      <c r="V34"/>
    </row>
    <row r="35" spans="1:22" s="8" customFormat="1" ht="15" customHeight="1" x14ac:dyDescent="0.25">
      <c r="A35" s="33" t="s">
        <v>83</v>
      </c>
      <c r="B35" s="33" t="s">
        <v>198</v>
      </c>
      <c r="C35" s="34" t="s">
        <v>86</v>
      </c>
      <c r="D35" s="33" t="s">
        <v>87</v>
      </c>
      <c r="E35" s="33" t="s">
        <v>111</v>
      </c>
      <c r="F35" s="33" t="s">
        <v>84</v>
      </c>
      <c r="G35" s="33" t="s">
        <v>85</v>
      </c>
      <c r="H35" s="24" t="s">
        <v>165</v>
      </c>
      <c r="I35" s="24" t="s">
        <v>169</v>
      </c>
      <c r="J35" s="24" t="s">
        <v>165</v>
      </c>
      <c r="K35" s="24" t="s">
        <v>169</v>
      </c>
      <c r="L35" s="45"/>
      <c r="V35" s="8" t="s">
        <v>164</v>
      </c>
    </row>
    <row r="36" spans="1:22" s="8" customFormat="1" ht="15" customHeight="1" x14ac:dyDescent="0.25">
      <c r="A36" s="237" t="s">
        <v>40</v>
      </c>
      <c r="B36" s="20" t="s">
        <v>199</v>
      </c>
      <c r="C36" s="19"/>
      <c r="D36" s="17"/>
      <c r="E36" s="16"/>
      <c r="F36" s="18"/>
      <c r="G36" s="18"/>
      <c r="H36" s="37" t="str">
        <f>IFERROR(VLOOKUP(F36,'Product Spec'!B:D,2,FALSE)," ")</f>
        <v xml:space="preserve"> </v>
      </c>
      <c r="I36" s="37" t="str">
        <f>IFERROR(C36*H36*P36*MIN(1,2.4/E36)," ")</f>
        <v xml:space="preserve"> </v>
      </c>
      <c r="J36" s="37" t="str">
        <f>IFERROR(VLOOKUP(F36,'Product Spec'!B:D,3,FALSE)," ")</f>
        <v xml:space="preserve"> </v>
      </c>
      <c r="K36" s="37" t="str">
        <f>IFERROR(C36*J36*P36*MIN(1,2.4/E36)," ")</f>
        <v xml:space="preserve"> </v>
      </c>
      <c r="L36" s="45"/>
      <c r="P36" s="8">
        <f>IF(OR(D36=30,D36=45,D36=60),Q36,COS(R36))</f>
        <v>1</v>
      </c>
      <c r="Q36" s="8" t="e" cm="1">
        <f t="array" ref="Q36">_xlfn.IFS(D36=30,0.87,D36=45,0.7,D36=60,0.5)</f>
        <v>#N/A</v>
      </c>
      <c r="R36" s="8">
        <f>(PI()/180)*D36</f>
        <v>0</v>
      </c>
      <c r="S36" s="8">
        <f>H42/H43</f>
        <v>0</v>
      </c>
      <c r="V36" s="8">
        <f xml:space="preserve"> C43*15</f>
        <v>0</v>
      </c>
    </row>
    <row r="37" spans="1:22" s="8" customFormat="1" ht="15" customHeight="1" x14ac:dyDescent="0.25">
      <c r="A37" s="237"/>
      <c r="B37" s="20" t="s">
        <v>200</v>
      </c>
      <c r="C37" s="19"/>
      <c r="D37" s="17"/>
      <c r="E37" s="16"/>
      <c r="F37" s="18"/>
      <c r="G37" s="18"/>
      <c r="H37" s="37" t="str">
        <f>IFERROR(VLOOKUP(F37,'Product Spec'!B:D,2,FALSE)," ")</f>
        <v xml:space="preserve"> </v>
      </c>
      <c r="I37" s="37" t="str">
        <f t="shared" ref="I37:I41" si="8">IFERROR(C37*H37*P37*MIN(1,2.4/E37)," ")</f>
        <v xml:space="preserve"> </v>
      </c>
      <c r="J37" s="37" t="str">
        <f>IFERROR(VLOOKUP(F37,'Product Spec'!B:D,3,FALSE)," ")</f>
        <v xml:space="preserve"> </v>
      </c>
      <c r="K37" s="37" t="str">
        <f t="shared" ref="K37:K41" si="9">IFERROR(C37*J37*P37*MIN(1,2.4/E37)," ")</f>
        <v xml:space="preserve"> </v>
      </c>
      <c r="L37" s="45"/>
      <c r="P37" s="8">
        <f t="shared" ref="P37:P41" si="10">IF(OR(D37=30,D37=45,D37=60),Q37,COS(R37))</f>
        <v>1</v>
      </c>
      <c r="Q37" s="8" t="e" cm="1">
        <f t="array" ref="Q37">_xlfn.IFS(D37=30,0.87,D37=45,0.7,D37=60,0.5)</f>
        <v>#N/A</v>
      </c>
      <c r="R37" s="8">
        <f t="shared" ref="R37:R41" si="11">(PI()/180)*D37</f>
        <v>0</v>
      </c>
      <c r="S37" s="8">
        <f>J42/J43</f>
        <v>0</v>
      </c>
    </row>
    <row r="38" spans="1:22" s="8" customFormat="1" ht="15" customHeight="1" x14ac:dyDescent="0.25">
      <c r="A38" s="237"/>
      <c r="B38" s="20" t="s">
        <v>201</v>
      </c>
      <c r="C38" s="19"/>
      <c r="D38" s="17"/>
      <c r="E38" s="16"/>
      <c r="F38" s="18"/>
      <c r="G38" s="18"/>
      <c r="H38" s="37" t="str">
        <f>IFERROR(VLOOKUP(F38,'Product Spec'!B:D,2,FALSE)," ")</f>
        <v xml:space="preserve"> </v>
      </c>
      <c r="I38" s="37" t="str">
        <f t="shared" si="8"/>
        <v xml:space="preserve"> </v>
      </c>
      <c r="J38" s="37" t="str">
        <f>IFERROR(VLOOKUP(F38,'Product Spec'!B:D,3,FALSE)," ")</f>
        <v xml:space="preserve"> </v>
      </c>
      <c r="K38" s="37" t="str">
        <f t="shared" si="9"/>
        <v xml:space="preserve"> </v>
      </c>
      <c r="L38" s="45"/>
      <c r="P38" s="8">
        <f t="shared" si="10"/>
        <v>1</v>
      </c>
      <c r="Q38" s="8" t="e" cm="1">
        <f t="array" ref="Q38">_xlfn.IFS(D38=30,0.87,D38=45,0.7,D38=60,0.5)</f>
        <v>#N/A</v>
      </c>
      <c r="R38" s="8">
        <f t="shared" si="11"/>
        <v>0</v>
      </c>
    </row>
    <row r="39" spans="1:22" s="8" customFormat="1" ht="15" customHeight="1" x14ac:dyDescent="0.25">
      <c r="A39" s="237"/>
      <c r="B39" s="20" t="s">
        <v>202</v>
      </c>
      <c r="C39" s="19"/>
      <c r="D39" s="17"/>
      <c r="E39" s="16"/>
      <c r="F39" s="18"/>
      <c r="G39" s="18"/>
      <c r="H39" s="37" t="str">
        <f>IFERROR(VLOOKUP(F39,'Product Spec'!B:D,2,FALSE)," ")</f>
        <v xml:space="preserve"> </v>
      </c>
      <c r="I39" s="37" t="str">
        <f t="shared" si="8"/>
        <v xml:space="preserve"> </v>
      </c>
      <c r="J39" s="37" t="str">
        <f>IFERROR(VLOOKUP(F39,'Product Spec'!B:D,3,FALSE)," ")</f>
        <v xml:space="preserve"> </v>
      </c>
      <c r="K39" s="37" t="str">
        <f t="shared" si="9"/>
        <v xml:space="preserve"> </v>
      </c>
      <c r="L39" s="45"/>
      <c r="P39" s="8">
        <f t="shared" si="10"/>
        <v>1</v>
      </c>
      <c r="Q39" s="8" t="e" cm="1">
        <f t="array" ref="Q39">_xlfn.IFS(D39=30,0.87,D39=45,0.7,D39=60,0.5)</f>
        <v>#N/A</v>
      </c>
      <c r="R39" s="8">
        <f t="shared" si="11"/>
        <v>0</v>
      </c>
    </row>
    <row r="40" spans="1:22" s="8" customFormat="1" ht="15" customHeight="1" x14ac:dyDescent="0.25">
      <c r="A40" s="237"/>
      <c r="B40" s="20" t="s">
        <v>203</v>
      </c>
      <c r="C40" s="19"/>
      <c r="D40" s="17"/>
      <c r="E40" s="16"/>
      <c r="F40" s="18"/>
      <c r="G40" s="18"/>
      <c r="H40" s="37" t="str">
        <f>IFERROR(VLOOKUP(F40,'Product Spec'!B:D,2,FALSE)," ")</f>
        <v xml:space="preserve"> </v>
      </c>
      <c r="I40" s="37" t="str">
        <f t="shared" si="8"/>
        <v xml:space="preserve"> </v>
      </c>
      <c r="J40" s="37" t="str">
        <f>IFERROR(VLOOKUP(F40,'Product Spec'!B:D,3,FALSE)," ")</f>
        <v xml:space="preserve"> </v>
      </c>
      <c r="K40" s="37" t="str">
        <f t="shared" si="9"/>
        <v xml:space="preserve"> </v>
      </c>
      <c r="L40" s="45"/>
      <c r="P40" s="8">
        <f t="shared" si="10"/>
        <v>1</v>
      </c>
      <c r="Q40" s="8" t="e" cm="1">
        <f t="array" ref="Q40">_xlfn.IFS(D40=30,0.87,D40=45,0.7,D40=60,0.5)</f>
        <v>#N/A</v>
      </c>
      <c r="R40" s="8">
        <f t="shared" si="11"/>
        <v>0</v>
      </c>
    </row>
    <row r="41" spans="1:22" s="8" customFormat="1" ht="15" customHeight="1" x14ac:dyDescent="0.25">
      <c r="A41" s="237"/>
      <c r="B41" s="20" t="s">
        <v>204</v>
      </c>
      <c r="C41" s="19"/>
      <c r="D41" s="17"/>
      <c r="E41" s="16"/>
      <c r="F41" s="18"/>
      <c r="G41" s="18"/>
      <c r="H41" s="37" t="str">
        <f>IFERROR(VLOOKUP(F41,'Product Spec'!B:D,2,FALSE)," ")</f>
        <v xml:space="preserve"> </v>
      </c>
      <c r="I41" s="37" t="str">
        <f t="shared" si="8"/>
        <v xml:space="preserve"> </v>
      </c>
      <c r="J41" s="37" t="str">
        <f>IFERROR(VLOOKUP(F41,'Product Spec'!B:D,3,FALSE)," ")</f>
        <v xml:space="preserve"> </v>
      </c>
      <c r="K41" s="37" t="str">
        <f t="shared" si="9"/>
        <v xml:space="preserve"> </v>
      </c>
      <c r="L41" s="45"/>
      <c r="P41" s="8">
        <f t="shared" si="10"/>
        <v>1</v>
      </c>
      <c r="Q41" s="8" t="e" cm="1">
        <f t="array" ref="Q41">_xlfn.IFS(D41=30,0.87,D41=45,0.7,D41=60,0.5)</f>
        <v>#N/A</v>
      </c>
      <c r="R41" s="8">
        <f t="shared" si="11"/>
        <v>0</v>
      </c>
    </row>
    <row r="42" spans="1:22" s="8" customFormat="1" ht="15" customHeight="1" x14ac:dyDescent="0.25">
      <c r="A42" s="237"/>
      <c r="B42" s="98" t="s">
        <v>170</v>
      </c>
      <c r="C42" s="99"/>
      <c r="D42" s="99"/>
      <c r="E42" s="99"/>
      <c r="F42" s="99"/>
      <c r="G42" s="100"/>
      <c r="H42" s="179" cm="1">
        <f t="array" ref="H42">IF(D8&lt;3,0,SUM(IFERROR(I36:I41,0)))</f>
        <v>0</v>
      </c>
      <c r="I42" s="180"/>
      <c r="J42" s="179" cm="1">
        <f t="array" ref="J42">IF(D8&lt;3,0,SUM(IFERROR(K36:K41,0)))</f>
        <v>0</v>
      </c>
      <c r="K42" s="180"/>
      <c r="L42" s="45"/>
    </row>
    <row r="43" spans="1:22" s="8" customFormat="1" ht="15" customHeight="1" x14ac:dyDescent="0.25">
      <c r="A43" s="35" t="s">
        <v>168</v>
      </c>
      <c r="B43" s="160"/>
      <c r="C43" s="161"/>
      <c r="D43" s="99" t="s">
        <v>166</v>
      </c>
      <c r="E43" s="99"/>
      <c r="F43" s="99"/>
      <c r="G43" s="100"/>
      <c r="H43" s="150">
        <f>MAX(100,(0.5*$D$3)/$D$8,V36)</f>
        <v>100</v>
      </c>
      <c r="I43" s="151"/>
      <c r="J43" s="150">
        <f>MAX(100,(0.5*$I$3)/$D$8,V36)</f>
        <v>100</v>
      </c>
      <c r="K43" s="151"/>
      <c r="L43" s="45"/>
    </row>
    <row r="44" spans="1:22" customFormat="1" ht="15" customHeight="1" x14ac:dyDescent="0.25">
      <c r="A44" s="197" t="str">
        <f>IF(OR(S36&lt;1,S37&lt;1),"Warning: Doesn’t meet the minimum BU's requirement per line."," ")</f>
        <v>Warning: Doesn’t meet the minimum BU's requirement per line.</v>
      </c>
      <c r="B44" s="154"/>
      <c r="C44" s="154"/>
      <c r="D44" s="154"/>
      <c r="E44" s="154"/>
      <c r="F44" s="154"/>
      <c r="G44" s="154"/>
      <c r="H44" s="154"/>
      <c r="I44" s="154"/>
      <c r="J44" s="154"/>
      <c r="K44" s="198"/>
      <c r="L44" s="45"/>
    </row>
    <row r="45" spans="1:22" customFormat="1" ht="15" customHeight="1" x14ac:dyDescent="0.25">
      <c r="A45" s="203"/>
      <c r="B45" s="171"/>
      <c r="C45" s="171"/>
      <c r="D45" s="171"/>
      <c r="E45" s="171"/>
      <c r="F45" s="171"/>
      <c r="G45" s="171"/>
      <c r="H45" s="171"/>
      <c r="I45" s="171"/>
      <c r="J45" s="171"/>
      <c r="K45" s="204"/>
      <c r="L45" s="45"/>
    </row>
    <row r="46" spans="1:22" s="8" customFormat="1" ht="15" customHeight="1" x14ac:dyDescent="0.25">
      <c r="A46" s="33" t="s">
        <v>83</v>
      </c>
      <c r="B46" s="33" t="s">
        <v>198</v>
      </c>
      <c r="C46" s="34" t="s">
        <v>86</v>
      </c>
      <c r="D46" s="33" t="s">
        <v>87</v>
      </c>
      <c r="E46" s="33" t="s">
        <v>111</v>
      </c>
      <c r="F46" s="33" t="s">
        <v>84</v>
      </c>
      <c r="G46" s="33" t="s">
        <v>85</v>
      </c>
      <c r="H46" s="24" t="s">
        <v>165</v>
      </c>
      <c r="I46" s="24" t="s">
        <v>169</v>
      </c>
      <c r="J46" s="24" t="s">
        <v>165</v>
      </c>
      <c r="K46" s="24" t="s">
        <v>169</v>
      </c>
      <c r="L46" s="45"/>
      <c r="V46" s="8" t="s">
        <v>164</v>
      </c>
    </row>
    <row r="47" spans="1:22" s="8" customFormat="1" ht="15" customHeight="1" x14ac:dyDescent="0.25">
      <c r="A47" s="237" t="s">
        <v>41</v>
      </c>
      <c r="B47" s="20" t="s">
        <v>199</v>
      </c>
      <c r="C47" s="19"/>
      <c r="D47" s="17"/>
      <c r="E47" s="16"/>
      <c r="F47" s="18"/>
      <c r="G47" s="18"/>
      <c r="H47" s="37" t="str">
        <f>IFERROR(VLOOKUP(F47,'Product Spec'!B:D,2,FALSE)," ")</f>
        <v xml:space="preserve"> </v>
      </c>
      <c r="I47" s="37" t="str">
        <f>IFERROR(C47*H47*P47*MIN(1,2.4/E47)," ")</f>
        <v xml:space="preserve"> </v>
      </c>
      <c r="J47" s="37" t="str">
        <f>IFERROR(VLOOKUP(F47,'Product Spec'!B:D,3,FALSE)," ")</f>
        <v xml:space="preserve"> </v>
      </c>
      <c r="K47" s="37" t="str">
        <f>IFERROR(C47*J47*P47*MIN(1,2.4/E47)," ")</f>
        <v xml:space="preserve"> </v>
      </c>
      <c r="L47" s="45"/>
      <c r="P47" s="8">
        <f>IF(OR(D47=30,D47=45,D47=60),Q47,COS(R47))</f>
        <v>1</v>
      </c>
      <c r="Q47" s="8" t="e" cm="1">
        <f t="array" ref="Q47">_xlfn.IFS(D47=30,0.87,D47=45,0.7,D47=60,0.5)</f>
        <v>#N/A</v>
      </c>
      <c r="R47" s="8">
        <f>(PI()/180)*D47</f>
        <v>0</v>
      </c>
      <c r="S47" s="8">
        <f>H53/H54</f>
        <v>0</v>
      </c>
      <c r="V47" s="8">
        <f xml:space="preserve"> C54*15</f>
        <v>0</v>
      </c>
    </row>
    <row r="48" spans="1:22" s="8" customFormat="1" ht="15" customHeight="1" x14ac:dyDescent="0.25">
      <c r="A48" s="237"/>
      <c r="B48" s="20" t="s">
        <v>200</v>
      </c>
      <c r="C48" s="19"/>
      <c r="D48" s="17"/>
      <c r="E48" s="16"/>
      <c r="F48" s="18"/>
      <c r="G48" s="18"/>
      <c r="H48" s="37" t="str">
        <f>IFERROR(VLOOKUP(F48,'Product Spec'!B:D,2,FALSE)," ")</f>
        <v xml:space="preserve"> </v>
      </c>
      <c r="I48" s="37" t="str">
        <f t="shared" ref="I48:I52" si="12">IFERROR(C48*H48*P48*MIN(1,2.4/E48)," ")</f>
        <v xml:space="preserve"> </v>
      </c>
      <c r="J48" s="37" t="str">
        <f>IFERROR(VLOOKUP(F48,'Product Spec'!B:D,3,FALSE)," ")</f>
        <v xml:space="preserve"> </v>
      </c>
      <c r="K48" s="37" t="str">
        <f t="shared" ref="K48:K52" si="13">IFERROR(C48*J48*P48*MIN(1,2.4/E48)," ")</f>
        <v xml:space="preserve"> </v>
      </c>
      <c r="L48" s="45"/>
      <c r="P48" s="8">
        <f t="shared" ref="P48:P52" si="14">IF(OR(D48=30,D48=45,D48=60),Q48,COS(R48))</f>
        <v>1</v>
      </c>
      <c r="Q48" s="8" t="e" cm="1">
        <f t="array" ref="Q48">_xlfn.IFS(D48=30,0.87,D48=45,0.7,D48=60,0.5)</f>
        <v>#N/A</v>
      </c>
      <c r="R48" s="8">
        <f t="shared" ref="R48:R52" si="15">(PI()/180)*D48</f>
        <v>0</v>
      </c>
      <c r="S48" s="8">
        <f>J53/J54</f>
        <v>0</v>
      </c>
    </row>
    <row r="49" spans="1:22" s="8" customFormat="1" ht="15" customHeight="1" x14ac:dyDescent="0.25">
      <c r="A49" s="237"/>
      <c r="B49" s="20" t="s">
        <v>201</v>
      </c>
      <c r="C49" s="19"/>
      <c r="D49" s="17"/>
      <c r="E49" s="16"/>
      <c r="F49" s="18"/>
      <c r="G49" s="18"/>
      <c r="H49" s="37" t="str">
        <f>IFERROR(VLOOKUP(F49,'Product Spec'!B:D,2,FALSE)," ")</f>
        <v xml:space="preserve"> </v>
      </c>
      <c r="I49" s="37" t="str">
        <f t="shared" si="12"/>
        <v xml:space="preserve"> </v>
      </c>
      <c r="J49" s="37" t="str">
        <f>IFERROR(VLOOKUP(F49,'Product Spec'!B:D,3,FALSE)," ")</f>
        <v xml:space="preserve"> </v>
      </c>
      <c r="K49" s="37" t="str">
        <f t="shared" si="13"/>
        <v xml:space="preserve"> </v>
      </c>
      <c r="L49" s="45"/>
      <c r="P49" s="8">
        <f t="shared" si="14"/>
        <v>1</v>
      </c>
      <c r="Q49" s="8" t="e" cm="1">
        <f t="array" ref="Q49">_xlfn.IFS(D49=30,0.87,D49=45,0.7,D49=60,0.5)</f>
        <v>#N/A</v>
      </c>
      <c r="R49" s="8">
        <f t="shared" si="15"/>
        <v>0</v>
      </c>
    </row>
    <row r="50" spans="1:22" s="8" customFormat="1" ht="15" customHeight="1" x14ac:dyDescent="0.25">
      <c r="A50" s="237"/>
      <c r="B50" s="20" t="s">
        <v>202</v>
      </c>
      <c r="C50" s="19"/>
      <c r="D50" s="17"/>
      <c r="E50" s="16"/>
      <c r="F50" s="18"/>
      <c r="G50" s="18"/>
      <c r="H50" s="37" t="str">
        <f>IFERROR(VLOOKUP(F50,'Product Spec'!B:D,2,FALSE)," ")</f>
        <v xml:space="preserve"> </v>
      </c>
      <c r="I50" s="37" t="str">
        <f t="shared" si="12"/>
        <v xml:space="preserve"> </v>
      </c>
      <c r="J50" s="37" t="str">
        <f>IFERROR(VLOOKUP(F50,'Product Spec'!B:D,3,FALSE)," ")</f>
        <v xml:space="preserve"> </v>
      </c>
      <c r="K50" s="37" t="str">
        <f t="shared" si="13"/>
        <v xml:space="preserve"> </v>
      </c>
      <c r="L50" s="45"/>
      <c r="P50" s="8">
        <f t="shared" si="14"/>
        <v>1</v>
      </c>
      <c r="Q50" s="8" t="e" cm="1">
        <f t="array" ref="Q50">_xlfn.IFS(D50=30,0.87,D50=45,0.7,D50=60,0.5)</f>
        <v>#N/A</v>
      </c>
      <c r="R50" s="8">
        <f t="shared" si="15"/>
        <v>0</v>
      </c>
    </row>
    <row r="51" spans="1:22" s="8" customFormat="1" ht="15" customHeight="1" x14ac:dyDescent="0.25">
      <c r="A51" s="237"/>
      <c r="B51" s="20" t="s">
        <v>203</v>
      </c>
      <c r="C51" s="19"/>
      <c r="D51" s="17"/>
      <c r="E51" s="16"/>
      <c r="F51" s="18"/>
      <c r="G51" s="18"/>
      <c r="H51" s="37" t="str">
        <f>IFERROR(VLOOKUP(F51,'Product Spec'!B:D,2,FALSE)," ")</f>
        <v xml:space="preserve"> </v>
      </c>
      <c r="I51" s="37" t="str">
        <f t="shared" si="12"/>
        <v xml:space="preserve"> </v>
      </c>
      <c r="J51" s="37" t="str">
        <f>IFERROR(VLOOKUP(F51,'Product Spec'!B:D,3,FALSE)," ")</f>
        <v xml:space="preserve"> </v>
      </c>
      <c r="K51" s="37" t="str">
        <f t="shared" si="13"/>
        <v xml:space="preserve"> </v>
      </c>
      <c r="L51" s="45"/>
      <c r="P51" s="8">
        <f t="shared" si="14"/>
        <v>1</v>
      </c>
      <c r="Q51" s="8" t="e" cm="1">
        <f t="array" ref="Q51">_xlfn.IFS(D51=30,0.87,D51=45,0.7,D51=60,0.5)</f>
        <v>#N/A</v>
      </c>
      <c r="R51" s="8">
        <f t="shared" si="15"/>
        <v>0</v>
      </c>
    </row>
    <row r="52" spans="1:22" s="8" customFormat="1" ht="15" customHeight="1" x14ac:dyDescent="0.25">
      <c r="A52" s="237"/>
      <c r="B52" s="20" t="s">
        <v>204</v>
      </c>
      <c r="C52" s="19"/>
      <c r="D52" s="17"/>
      <c r="E52" s="16"/>
      <c r="F52" s="18"/>
      <c r="G52" s="18"/>
      <c r="H52" s="37" t="str">
        <f>IFERROR(VLOOKUP(F52,'Product Spec'!B:D,2,FALSE)," ")</f>
        <v xml:space="preserve"> </v>
      </c>
      <c r="I52" s="37" t="str">
        <f t="shared" si="12"/>
        <v xml:space="preserve"> </v>
      </c>
      <c r="J52" s="37" t="str">
        <f>IFERROR(VLOOKUP(F52,'Product Spec'!B:D,3,FALSE)," ")</f>
        <v xml:space="preserve"> </v>
      </c>
      <c r="K52" s="37" t="str">
        <f t="shared" si="13"/>
        <v xml:space="preserve"> </v>
      </c>
      <c r="L52" s="45"/>
      <c r="P52" s="8">
        <f t="shared" si="14"/>
        <v>1</v>
      </c>
      <c r="Q52" s="8" t="e" cm="1">
        <f t="array" ref="Q52">_xlfn.IFS(D52=30,0.87,D52=45,0.7,D52=60,0.5)</f>
        <v>#N/A</v>
      </c>
      <c r="R52" s="8">
        <f t="shared" si="15"/>
        <v>0</v>
      </c>
    </row>
    <row r="53" spans="1:22" s="8" customFormat="1" ht="15" customHeight="1" x14ac:dyDescent="0.25">
      <c r="A53" s="237"/>
      <c r="B53" s="98" t="s">
        <v>170</v>
      </c>
      <c r="C53" s="99"/>
      <c r="D53" s="99"/>
      <c r="E53" s="99"/>
      <c r="F53" s="99"/>
      <c r="G53" s="100"/>
      <c r="H53" s="179" cm="1">
        <f t="array" ref="H53">IF(D8&lt;4,0,SUM(IFERROR(I47:I52,0)))</f>
        <v>0</v>
      </c>
      <c r="I53" s="180"/>
      <c r="J53" s="179" cm="1">
        <f t="array" ref="J53">IF(D8&lt;4,0,SUM(IFERROR(K47:K52,0)))</f>
        <v>0</v>
      </c>
      <c r="K53" s="180"/>
      <c r="L53" s="45"/>
    </row>
    <row r="54" spans="1:22" s="8" customFormat="1" ht="15" customHeight="1" x14ac:dyDescent="0.25">
      <c r="A54" s="35" t="s">
        <v>168</v>
      </c>
      <c r="B54" s="160"/>
      <c r="C54" s="161"/>
      <c r="D54" s="99" t="s">
        <v>166</v>
      </c>
      <c r="E54" s="99"/>
      <c r="F54" s="99"/>
      <c r="G54" s="100"/>
      <c r="H54" s="150">
        <f>MAX(100,(0.5*$D$3)/$D$8,V47)</f>
        <v>100</v>
      </c>
      <c r="I54" s="151"/>
      <c r="J54" s="150">
        <f>MAX(100,(0.5*$I$3)/$D$8,V47)</f>
        <v>100</v>
      </c>
      <c r="K54" s="151"/>
      <c r="L54" s="45"/>
    </row>
    <row r="55" spans="1:22" customFormat="1" ht="15" customHeight="1" x14ac:dyDescent="0.25">
      <c r="A55" s="197" t="str">
        <f>IF(OR(S47&lt;1,S48&lt;1),"Warning: Doesn’t meet the minimum BU's requirement per line."," ")</f>
        <v>Warning: Doesn’t meet the minimum BU's requirement per line.</v>
      </c>
      <c r="B55" s="154"/>
      <c r="C55" s="154"/>
      <c r="D55" s="154"/>
      <c r="E55" s="154"/>
      <c r="F55" s="154"/>
      <c r="G55" s="154"/>
      <c r="H55" s="154"/>
      <c r="I55" s="154"/>
      <c r="J55" s="154"/>
      <c r="K55" s="198"/>
      <c r="L55" s="45"/>
    </row>
    <row r="56" spans="1:22" s="8" customFormat="1" ht="15" customHeight="1" x14ac:dyDescent="0.25">
      <c r="A56" s="201"/>
      <c r="B56" s="157"/>
      <c r="C56" s="157"/>
      <c r="D56" s="157"/>
      <c r="E56" s="157"/>
      <c r="F56" s="157"/>
      <c r="G56" s="157"/>
      <c r="H56" s="157"/>
      <c r="I56" s="157"/>
      <c r="J56" s="157"/>
      <c r="K56" s="202"/>
      <c r="L56" s="45"/>
      <c r="M56"/>
      <c r="N56"/>
      <c r="O56"/>
      <c r="P56"/>
      <c r="Q56"/>
      <c r="R56"/>
      <c r="S56"/>
      <c r="T56"/>
      <c r="U56"/>
      <c r="V56"/>
    </row>
    <row r="57" spans="1:22" s="8" customFormat="1" ht="15" customHeight="1" x14ac:dyDescent="0.25">
      <c r="A57" s="33" t="s">
        <v>83</v>
      </c>
      <c r="B57" s="33" t="s">
        <v>198</v>
      </c>
      <c r="C57" s="34" t="s">
        <v>86</v>
      </c>
      <c r="D57" s="33" t="s">
        <v>87</v>
      </c>
      <c r="E57" s="33" t="s">
        <v>111</v>
      </c>
      <c r="F57" s="33" t="s">
        <v>84</v>
      </c>
      <c r="G57" s="33" t="s">
        <v>85</v>
      </c>
      <c r="H57" s="24" t="s">
        <v>165</v>
      </c>
      <c r="I57" s="24" t="s">
        <v>169</v>
      </c>
      <c r="J57" s="24" t="s">
        <v>165</v>
      </c>
      <c r="K57" s="24" t="s">
        <v>169</v>
      </c>
      <c r="L57" s="45"/>
      <c r="V57" s="8" t="s">
        <v>164</v>
      </c>
    </row>
    <row r="58" spans="1:22" s="8" customFormat="1" ht="15" customHeight="1" x14ac:dyDescent="0.25">
      <c r="A58" s="237" t="s">
        <v>42</v>
      </c>
      <c r="B58" s="20" t="s">
        <v>199</v>
      </c>
      <c r="C58" s="19"/>
      <c r="D58" s="17"/>
      <c r="E58" s="16"/>
      <c r="F58" s="18"/>
      <c r="G58" s="18"/>
      <c r="H58" s="37" t="str">
        <f>IFERROR(VLOOKUP(F58,'Product Spec'!B:D,2,FALSE)," ")</f>
        <v xml:space="preserve"> </v>
      </c>
      <c r="I58" s="37" t="str">
        <f>IFERROR(C58*H58*P58*MIN(1,2.4/E58)," ")</f>
        <v xml:space="preserve"> </v>
      </c>
      <c r="J58" s="37" t="str">
        <f>IFERROR(VLOOKUP(F58,'Product Spec'!B:D,3,FALSE)," ")</f>
        <v xml:space="preserve"> </v>
      </c>
      <c r="K58" s="37" t="str">
        <f>IFERROR(C58*J58*P58*MIN(1,2.4/E58)," ")</f>
        <v xml:space="preserve"> </v>
      </c>
      <c r="L58" s="45"/>
      <c r="P58" s="8">
        <f>IF(OR(D58=30,D58=45,D58=60),Q58,COS(R58))</f>
        <v>1</v>
      </c>
      <c r="Q58" s="8" t="e" cm="1">
        <f t="array" ref="Q58">_xlfn.IFS(D58=30,0.87,D58=45,0.7,D58=60,0.5)</f>
        <v>#N/A</v>
      </c>
      <c r="R58" s="8">
        <f>(PI()/180)*D58</f>
        <v>0</v>
      </c>
      <c r="S58" s="8">
        <f>H64/H65</f>
        <v>0</v>
      </c>
      <c r="V58" s="8">
        <f xml:space="preserve"> C65*15</f>
        <v>0</v>
      </c>
    </row>
    <row r="59" spans="1:22" s="8" customFormat="1" ht="15" customHeight="1" x14ac:dyDescent="0.25">
      <c r="A59" s="237"/>
      <c r="B59" s="20" t="s">
        <v>200</v>
      </c>
      <c r="C59" s="19"/>
      <c r="D59" s="17"/>
      <c r="E59" s="16"/>
      <c r="F59" s="18"/>
      <c r="G59" s="18"/>
      <c r="H59" s="37" t="str">
        <f>IFERROR(VLOOKUP(F59,'Product Spec'!B:D,2,FALSE)," ")</f>
        <v xml:space="preserve"> </v>
      </c>
      <c r="I59" s="37" t="str">
        <f t="shared" ref="I59:I63" si="16">IFERROR(C59*H59*P59*MIN(1,2.4/E59)," ")</f>
        <v xml:space="preserve"> </v>
      </c>
      <c r="J59" s="37" t="str">
        <f>IFERROR(VLOOKUP(F59,'Product Spec'!B:D,3,FALSE)," ")</f>
        <v xml:space="preserve"> </v>
      </c>
      <c r="K59" s="37" t="str">
        <f t="shared" ref="K59:K63" si="17">IFERROR(C59*J59*P59*MIN(1,2.4/E59)," ")</f>
        <v xml:space="preserve"> </v>
      </c>
      <c r="L59" s="45"/>
      <c r="P59" s="8">
        <f t="shared" ref="P59:P63" si="18">IF(OR(D59=30,D59=45,D59=60),Q59,COS(R59))</f>
        <v>1</v>
      </c>
      <c r="Q59" s="8" t="e" cm="1">
        <f t="array" ref="Q59">_xlfn.IFS(D59=30,0.87,D59=45,0.7,D59=60,0.5)</f>
        <v>#N/A</v>
      </c>
      <c r="R59" s="8">
        <f t="shared" ref="R59:R63" si="19">(PI()/180)*D59</f>
        <v>0</v>
      </c>
      <c r="S59" s="8">
        <f>J64/J65</f>
        <v>0</v>
      </c>
    </row>
    <row r="60" spans="1:22" s="8" customFormat="1" ht="15" customHeight="1" x14ac:dyDescent="0.25">
      <c r="A60" s="237"/>
      <c r="B60" s="20" t="s">
        <v>201</v>
      </c>
      <c r="C60" s="19"/>
      <c r="D60" s="17"/>
      <c r="E60" s="16"/>
      <c r="F60" s="18"/>
      <c r="G60" s="18"/>
      <c r="H60" s="37" t="str">
        <f>IFERROR(VLOOKUP(F60,'Product Spec'!B:D,2,FALSE)," ")</f>
        <v xml:space="preserve"> </v>
      </c>
      <c r="I60" s="37" t="str">
        <f t="shared" si="16"/>
        <v xml:space="preserve"> </v>
      </c>
      <c r="J60" s="37" t="str">
        <f>IFERROR(VLOOKUP(F60,'Product Spec'!B:D,3,FALSE)," ")</f>
        <v xml:space="preserve"> </v>
      </c>
      <c r="K60" s="37" t="str">
        <f t="shared" si="17"/>
        <v xml:space="preserve"> </v>
      </c>
      <c r="L60" s="45"/>
      <c r="P60" s="8">
        <f t="shared" si="18"/>
        <v>1</v>
      </c>
      <c r="Q60" s="8" t="e" cm="1">
        <f t="array" ref="Q60">_xlfn.IFS(D60=30,0.87,D60=45,0.7,D60=60,0.5)</f>
        <v>#N/A</v>
      </c>
      <c r="R60" s="8">
        <f t="shared" si="19"/>
        <v>0</v>
      </c>
    </row>
    <row r="61" spans="1:22" s="8" customFormat="1" ht="15" customHeight="1" x14ac:dyDescent="0.25">
      <c r="A61" s="237"/>
      <c r="B61" s="20" t="s">
        <v>202</v>
      </c>
      <c r="C61" s="19"/>
      <c r="D61" s="17"/>
      <c r="E61" s="16"/>
      <c r="F61" s="18"/>
      <c r="G61" s="18"/>
      <c r="H61" s="37" t="str">
        <f>IFERROR(VLOOKUP(F61,'Product Spec'!B:D,2,FALSE)," ")</f>
        <v xml:space="preserve"> </v>
      </c>
      <c r="I61" s="37" t="str">
        <f t="shared" si="16"/>
        <v xml:space="preserve"> </v>
      </c>
      <c r="J61" s="37" t="str">
        <f>IFERROR(VLOOKUP(F61,'Product Spec'!B:D,3,FALSE)," ")</f>
        <v xml:space="preserve"> </v>
      </c>
      <c r="K61" s="37" t="str">
        <f t="shared" si="17"/>
        <v xml:space="preserve"> </v>
      </c>
      <c r="L61" s="45"/>
      <c r="P61" s="8">
        <f t="shared" si="18"/>
        <v>1</v>
      </c>
      <c r="Q61" s="8" t="e" cm="1">
        <f t="array" ref="Q61">_xlfn.IFS(D61=30,0.87,D61=45,0.7,D61=60,0.5)</f>
        <v>#N/A</v>
      </c>
      <c r="R61" s="8">
        <f t="shared" si="19"/>
        <v>0</v>
      </c>
    </row>
    <row r="62" spans="1:22" s="8" customFormat="1" ht="15" customHeight="1" x14ac:dyDescent="0.25">
      <c r="A62" s="237"/>
      <c r="B62" s="20" t="s">
        <v>203</v>
      </c>
      <c r="C62" s="19"/>
      <c r="D62" s="17"/>
      <c r="E62" s="16"/>
      <c r="F62" s="18"/>
      <c r="G62" s="18"/>
      <c r="H62" s="37" t="str">
        <f>IFERROR(VLOOKUP(F62,'Product Spec'!B:D,2,FALSE)," ")</f>
        <v xml:space="preserve"> </v>
      </c>
      <c r="I62" s="37" t="str">
        <f t="shared" si="16"/>
        <v xml:space="preserve"> </v>
      </c>
      <c r="J62" s="37" t="str">
        <f>IFERROR(VLOOKUP(F62,'Product Spec'!B:D,3,FALSE)," ")</f>
        <v xml:space="preserve"> </v>
      </c>
      <c r="K62" s="37" t="str">
        <f t="shared" si="17"/>
        <v xml:space="preserve"> </v>
      </c>
      <c r="L62" s="45"/>
      <c r="P62" s="8">
        <f t="shared" si="18"/>
        <v>1</v>
      </c>
      <c r="Q62" s="8" t="e" cm="1">
        <f t="array" ref="Q62">_xlfn.IFS(D62=30,0.87,D62=45,0.7,D62=60,0.5)</f>
        <v>#N/A</v>
      </c>
      <c r="R62" s="8">
        <f t="shared" si="19"/>
        <v>0</v>
      </c>
    </row>
    <row r="63" spans="1:22" s="8" customFormat="1" ht="15" customHeight="1" x14ac:dyDescent="0.25">
      <c r="A63" s="237"/>
      <c r="B63" s="20" t="s">
        <v>204</v>
      </c>
      <c r="C63" s="19"/>
      <c r="D63" s="17"/>
      <c r="E63" s="16"/>
      <c r="F63" s="18"/>
      <c r="G63" s="18"/>
      <c r="H63" s="37" t="str">
        <f>IFERROR(VLOOKUP(F63,'Product Spec'!B:D,2,FALSE)," ")</f>
        <v xml:space="preserve"> </v>
      </c>
      <c r="I63" s="37" t="str">
        <f t="shared" si="16"/>
        <v xml:space="preserve"> </v>
      </c>
      <c r="J63" s="37" t="str">
        <f>IFERROR(VLOOKUP(F63,'Product Spec'!B:D,3,FALSE)," ")</f>
        <v xml:space="preserve"> </v>
      </c>
      <c r="K63" s="37" t="str">
        <f t="shared" si="17"/>
        <v xml:space="preserve"> </v>
      </c>
      <c r="L63" s="45"/>
      <c r="P63" s="8">
        <f t="shared" si="18"/>
        <v>1</v>
      </c>
      <c r="Q63" s="8" t="e" cm="1">
        <f t="array" ref="Q63">_xlfn.IFS(D63=30,0.87,D63=45,0.7,D63=60,0.5)</f>
        <v>#N/A</v>
      </c>
      <c r="R63" s="8">
        <f t="shared" si="19"/>
        <v>0</v>
      </c>
    </row>
    <row r="64" spans="1:22" s="8" customFormat="1" ht="15" customHeight="1" x14ac:dyDescent="0.25">
      <c r="A64" s="237"/>
      <c r="B64" s="98" t="s">
        <v>170</v>
      </c>
      <c r="C64" s="99"/>
      <c r="D64" s="99"/>
      <c r="E64" s="99"/>
      <c r="F64" s="99"/>
      <c r="G64" s="100"/>
      <c r="H64" s="179" cm="1">
        <f t="array" ref="H64">IF(D8&lt;5,0,SUM(IFERROR(I58:I63,0)))</f>
        <v>0</v>
      </c>
      <c r="I64" s="180"/>
      <c r="J64" s="179" cm="1">
        <f t="array" ref="J64">IF(D8&lt;5,0,SUM(IFERROR(K58:K63,0)))</f>
        <v>0</v>
      </c>
      <c r="K64" s="180"/>
      <c r="L64" s="45"/>
    </row>
    <row r="65" spans="1:22" s="8" customFormat="1" ht="15" customHeight="1" x14ac:dyDescent="0.25">
      <c r="A65" s="35" t="s">
        <v>168</v>
      </c>
      <c r="B65" s="160"/>
      <c r="C65" s="161"/>
      <c r="D65" s="99" t="s">
        <v>166</v>
      </c>
      <c r="E65" s="99"/>
      <c r="F65" s="99"/>
      <c r="G65" s="100"/>
      <c r="H65" s="150">
        <f>MAX(100,(0.5*$D$3)/$D$8,V58)</f>
        <v>100</v>
      </c>
      <c r="I65" s="151"/>
      <c r="J65" s="150">
        <f>MAX(100,(0.5*$I$3)/$D$8,V58)</f>
        <v>100</v>
      </c>
      <c r="K65" s="151"/>
      <c r="L65" s="45"/>
    </row>
    <row r="66" spans="1:22" customFormat="1" ht="15" customHeight="1" x14ac:dyDescent="0.25">
      <c r="A66" s="197" t="str">
        <f>IF(OR(S58&lt;1,S59&lt;1),"Warning: Doesn’t meet the minimum BU's requirement per line."," ")</f>
        <v>Warning: Doesn’t meet the minimum BU's requirement per line.</v>
      </c>
      <c r="B66" s="154"/>
      <c r="C66" s="154"/>
      <c r="D66" s="154"/>
      <c r="E66" s="154"/>
      <c r="F66" s="154"/>
      <c r="G66" s="154"/>
      <c r="H66" s="154"/>
      <c r="I66" s="154"/>
      <c r="J66" s="154"/>
      <c r="K66" s="198"/>
      <c r="L66" s="45"/>
    </row>
    <row r="67" spans="1:22" s="8" customFormat="1" ht="15" customHeight="1" x14ac:dyDescent="0.25">
      <c r="A67" s="201"/>
      <c r="B67" s="157"/>
      <c r="C67" s="157"/>
      <c r="D67" s="157"/>
      <c r="E67" s="157"/>
      <c r="F67" s="157"/>
      <c r="G67" s="157"/>
      <c r="H67" s="157"/>
      <c r="I67" s="157"/>
      <c r="J67" s="157"/>
      <c r="K67" s="202"/>
      <c r="L67" s="45"/>
      <c r="M67"/>
      <c r="N67"/>
      <c r="O67"/>
      <c r="P67"/>
      <c r="Q67"/>
      <c r="R67"/>
      <c r="S67"/>
      <c r="T67"/>
      <c r="U67"/>
      <c r="V67"/>
    </row>
    <row r="68" spans="1:22" s="8" customFormat="1" ht="15" customHeight="1" x14ac:dyDescent="0.25">
      <c r="A68" s="33" t="s">
        <v>83</v>
      </c>
      <c r="B68" s="33" t="s">
        <v>198</v>
      </c>
      <c r="C68" s="34" t="s">
        <v>86</v>
      </c>
      <c r="D68" s="33" t="s">
        <v>87</v>
      </c>
      <c r="E68" s="33" t="s">
        <v>111</v>
      </c>
      <c r="F68" s="33" t="s">
        <v>84</v>
      </c>
      <c r="G68" s="33" t="s">
        <v>85</v>
      </c>
      <c r="H68" s="24" t="s">
        <v>165</v>
      </c>
      <c r="I68" s="24" t="s">
        <v>169</v>
      </c>
      <c r="J68" s="24" t="s">
        <v>165</v>
      </c>
      <c r="K68" s="24" t="s">
        <v>169</v>
      </c>
      <c r="L68" s="45"/>
      <c r="V68" s="8" t="s">
        <v>164</v>
      </c>
    </row>
    <row r="69" spans="1:22" s="8" customFormat="1" ht="15" customHeight="1" x14ac:dyDescent="0.25">
      <c r="A69" s="237" t="s">
        <v>112</v>
      </c>
      <c r="B69" s="20" t="s">
        <v>199</v>
      </c>
      <c r="C69" s="19"/>
      <c r="D69" s="17"/>
      <c r="E69" s="16"/>
      <c r="F69" s="18"/>
      <c r="G69" s="18"/>
      <c r="H69" s="37" t="str">
        <f>IFERROR(VLOOKUP(F69,'Product Spec'!B:D,2,FALSE)," ")</f>
        <v xml:space="preserve"> </v>
      </c>
      <c r="I69" s="37" t="str">
        <f>IFERROR(C69*H69*P69*MIN(1,2.4/E69)," ")</f>
        <v xml:space="preserve"> </v>
      </c>
      <c r="J69" s="37" t="str">
        <f>IFERROR(VLOOKUP(F69,'Product Spec'!B:D,3,FALSE)," ")</f>
        <v xml:space="preserve"> </v>
      </c>
      <c r="K69" s="37" t="str">
        <f>IFERROR(C69*J69*P69*MIN(1,2.4/E69)," ")</f>
        <v xml:space="preserve"> </v>
      </c>
      <c r="L69" s="45"/>
      <c r="P69" s="8">
        <f>IF(OR(D69=30,D69=45,D69=60),Q69,COS(R69))</f>
        <v>1</v>
      </c>
      <c r="Q69" s="8" t="e" cm="1">
        <f t="array" ref="Q69">_xlfn.IFS(D69=30,0.87,D69=45,0.7,D69=60,0.5)</f>
        <v>#N/A</v>
      </c>
      <c r="R69" s="8">
        <f>(PI()/180)*D69</f>
        <v>0</v>
      </c>
      <c r="S69" s="8">
        <f>H75/H76</f>
        <v>0</v>
      </c>
      <c r="V69" s="8">
        <f xml:space="preserve"> C76*15</f>
        <v>0</v>
      </c>
    </row>
    <row r="70" spans="1:22" s="8" customFormat="1" ht="15" customHeight="1" x14ac:dyDescent="0.25">
      <c r="A70" s="237"/>
      <c r="B70" s="20" t="s">
        <v>200</v>
      </c>
      <c r="C70" s="19"/>
      <c r="D70" s="17"/>
      <c r="E70" s="16"/>
      <c r="F70" s="18"/>
      <c r="G70" s="18"/>
      <c r="H70" s="37" t="str">
        <f>IFERROR(VLOOKUP(F70,'Product Spec'!B:D,2,FALSE)," ")</f>
        <v xml:space="preserve"> </v>
      </c>
      <c r="I70" s="37" t="str">
        <f t="shared" ref="I70:I74" si="20">IFERROR(C70*H70*P70*MIN(1,2.4/E70)," ")</f>
        <v xml:space="preserve"> </v>
      </c>
      <c r="J70" s="37" t="str">
        <f>IFERROR(VLOOKUP(F70,'Product Spec'!B:D,3,FALSE)," ")</f>
        <v xml:space="preserve"> </v>
      </c>
      <c r="K70" s="37" t="str">
        <f t="shared" ref="K70:K74" si="21">IFERROR(C70*J70*P70*MIN(1,2.4/E70)," ")</f>
        <v xml:space="preserve"> </v>
      </c>
      <c r="L70" s="45"/>
      <c r="P70" s="8">
        <f t="shared" ref="P70:P74" si="22">IF(OR(D70=30,D70=45,D70=60),Q70,COS(R70))</f>
        <v>1</v>
      </c>
      <c r="Q70" s="8" t="e" cm="1">
        <f t="array" ref="Q70">_xlfn.IFS(D70=30,0.87,D70=45,0.7,D70=60,0.5)</f>
        <v>#N/A</v>
      </c>
      <c r="R70" s="8">
        <f t="shared" ref="R70:R74" si="23">(PI()/180)*D70</f>
        <v>0</v>
      </c>
      <c r="S70" s="8">
        <f>J75/J76</f>
        <v>0</v>
      </c>
    </row>
    <row r="71" spans="1:22" s="8" customFormat="1" ht="15" customHeight="1" x14ac:dyDescent="0.25">
      <c r="A71" s="237"/>
      <c r="B71" s="20" t="s">
        <v>201</v>
      </c>
      <c r="C71" s="19"/>
      <c r="D71" s="17"/>
      <c r="E71" s="16"/>
      <c r="F71" s="18"/>
      <c r="G71" s="18"/>
      <c r="H71" s="37" t="str">
        <f>IFERROR(VLOOKUP(F71,'Product Spec'!B:D,2,FALSE)," ")</f>
        <v xml:space="preserve"> </v>
      </c>
      <c r="I71" s="37" t="str">
        <f t="shared" si="20"/>
        <v xml:space="preserve"> </v>
      </c>
      <c r="J71" s="37" t="str">
        <f>IFERROR(VLOOKUP(F71,'Product Spec'!B:D,3,FALSE)," ")</f>
        <v xml:space="preserve"> </v>
      </c>
      <c r="K71" s="37" t="str">
        <f t="shared" si="21"/>
        <v xml:space="preserve"> </v>
      </c>
      <c r="L71" s="45"/>
      <c r="P71" s="8">
        <f t="shared" si="22"/>
        <v>1</v>
      </c>
      <c r="Q71" s="8" t="e" cm="1">
        <f t="array" ref="Q71">_xlfn.IFS(D71=30,0.87,D71=45,0.7,D71=60,0.5)</f>
        <v>#N/A</v>
      </c>
      <c r="R71" s="8">
        <f t="shared" si="23"/>
        <v>0</v>
      </c>
    </row>
    <row r="72" spans="1:22" s="8" customFormat="1" ht="15" customHeight="1" x14ac:dyDescent="0.25">
      <c r="A72" s="237"/>
      <c r="B72" s="20" t="s">
        <v>202</v>
      </c>
      <c r="C72" s="19"/>
      <c r="D72" s="17"/>
      <c r="E72" s="16"/>
      <c r="F72" s="18"/>
      <c r="G72" s="18"/>
      <c r="H72" s="37" t="str">
        <f>IFERROR(VLOOKUP(F72,'Product Spec'!B:D,2,FALSE)," ")</f>
        <v xml:space="preserve"> </v>
      </c>
      <c r="I72" s="37" t="str">
        <f t="shared" si="20"/>
        <v xml:space="preserve"> </v>
      </c>
      <c r="J72" s="37" t="str">
        <f>IFERROR(VLOOKUP(F72,'Product Spec'!B:D,3,FALSE)," ")</f>
        <v xml:space="preserve"> </v>
      </c>
      <c r="K72" s="37" t="str">
        <f t="shared" si="21"/>
        <v xml:space="preserve"> </v>
      </c>
      <c r="L72" s="45"/>
      <c r="P72" s="8">
        <f t="shared" si="22"/>
        <v>1</v>
      </c>
      <c r="Q72" s="8" t="e" cm="1">
        <f t="array" ref="Q72">_xlfn.IFS(D72=30,0.87,D72=45,0.7,D72=60,0.5)</f>
        <v>#N/A</v>
      </c>
      <c r="R72" s="8">
        <f t="shared" si="23"/>
        <v>0</v>
      </c>
    </row>
    <row r="73" spans="1:22" s="8" customFormat="1" ht="15" customHeight="1" x14ac:dyDescent="0.25">
      <c r="A73" s="237"/>
      <c r="B73" s="20" t="s">
        <v>203</v>
      </c>
      <c r="C73" s="19"/>
      <c r="D73" s="17"/>
      <c r="E73" s="16"/>
      <c r="F73" s="18"/>
      <c r="G73" s="18"/>
      <c r="H73" s="37" t="str">
        <f>IFERROR(VLOOKUP(F73,'Product Spec'!B:D,2,FALSE)," ")</f>
        <v xml:space="preserve"> </v>
      </c>
      <c r="I73" s="37" t="str">
        <f t="shared" si="20"/>
        <v xml:space="preserve"> </v>
      </c>
      <c r="J73" s="37" t="str">
        <f>IFERROR(VLOOKUP(F73,'Product Spec'!B:D,3,FALSE)," ")</f>
        <v xml:space="preserve"> </v>
      </c>
      <c r="K73" s="37" t="str">
        <f t="shared" si="21"/>
        <v xml:space="preserve"> </v>
      </c>
      <c r="L73" s="45"/>
      <c r="P73" s="8">
        <f t="shared" si="22"/>
        <v>1</v>
      </c>
      <c r="Q73" s="8" t="e" cm="1">
        <f t="array" ref="Q73">_xlfn.IFS(D73=30,0.87,D73=45,0.7,D73=60,0.5)</f>
        <v>#N/A</v>
      </c>
      <c r="R73" s="8">
        <f t="shared" si="23"/>
        <v>0</v>
      </c>
    </row>
    <row r="74" spans="1:22" s="8" customFormat="1" ht="15" customHeight="1" x14ac:dyDescent="0.25">
      <c r="A74" s="237"/>
      <c r="B74" s="20" t="s">
        <v>204</v>
      </c>
      <c r="C74" s="19"/>
      <c r="D74" s="17"/>
      <c r="E74" s="16"/>
      <c r="F74" s="18"/>
      <c r="G74" s="18"/>
      <c r="H74" s="37" t="str">
        <f>IFERROR(VLOOKUP(F74,'Product Spec'!B:D,2,FALSE)," ")</f>
        <v xml:space="preserve"> </v>
      </c>
      <c r="I74" s="37" t="str">
        <f t="shared" si="20"/>
        <v xml:space="preserve"> </v>
      </c>
      <c r="J74" s="37" t="str">
        <f>IFERROR(VLOOKUP(F74,'Product Spec'!B:D,3,FALSE)," ")</f>
        <v xml:space="preserve"> </v>
      </c>
      <c r="K74" s="37" t="str">
        <f t="shared" si="21"/>
        <v xml:space="preserve"> </v>
      </c>
      <c r="L74" s="45"/>
      <c r="P74" s="8">
        <f t="shared" si="22"/>
        <v>1</v>
      </c>
      <c r="Q74" s="8" t="e" cm="1">
        <f t="array" ref="Q74">_xlfn.IFS(D74=30,0.87,D74=45,0.7,D74=60,0.5)</f>
        <v>#N/A</v>
      </c>
      <c r="R74" s="8">
        <f t="shared" si="23"/>
        <v>0</v>
      </c>
    </row>
    <row r="75" spans="1:22" s="8" customFormat="1" ht="15" customHeight="1" x14ac:dyDescent="0.25">
      <c r="A75" s="237"/>
      <c r="B75" s="98" t="s">
        <v>170</v>
      </c>
      <c r="C75" s="99"/>
      <c r="D75" s="99"/>
      <c r="E75" s="99"/>
      <c r="F75" s="99"/>
      <c r="G75" s="100"/>
      <c r="H75" s="179" cm="1">
        <f t="array" ref="H75">IF(D8&lt;6,0,SUM(IFERROR(I69:I74,0)))</f>
        <v>0</v>
      </c>
      <c r="I75" s="180"/>
      <c r="J75" s="179" cm="1">
        <f t="array" ref="J75">IF(D8&lt;6,0,SUM(IFERROR(K69:K74,0)))</f>
        <v>0</v>
      </c>
      <c r="K75" s="180"/>
      <c r="L75" s="45"/>
    </row>
    <row r="76" spans="1:22" s="8" customFormat="1" ht="15" customHeight="1" x14ac:dyDescent="0.25">
      <c r="A76" s="35" t="s">
        <v>168</v>
      </c>
      <c r="B76" s="160"/>
      <c r="C76" s="161"/>
      <c r="D76" s="99" t="s">
        <v>166</v>
      </c>
      <c r="E76" s="99"/>
      <c r="F76" s="99"/>
      <c r="G76" s="100"/>
      <c r="H76" s="150">
        <f>MAX(100,(0.5*$D$3)/$D$8,V69)</f>
        <v>100</v>
      </c>
      <c r="I76" s="151"/>
      <c r="J76" s="150">
        <f>MAX(100,(0.5*$I$3)/$D$8,V69)</f>
        <v>100</v>
      </c>
      <c r="K76" s="151"/>
      <c r="L76" s="45"/>
    </row>
    <row r="77" spans="1:22" customFormat="1" ht="15" customHeight="1" x14ac:dyDescent="0.25">
      <c r="A77" s="197" t="str">
        <f>IF(OR(S69&lt;1,S70&lt;1),"Warning: Doesn’t meet the minimum BU's requirement per line."," ")</f>
        <v>Warning: Doesn’t meet the minimum BU's requirement per line.</v>
      </c>
      <c r="B77" s="154"/>
      <c r="C77" s="154"/>
      <c r="D77" s="154"/>
      <c r="E77" s="154"/>
      <c r="F77" s="154"/>
      <c r="G77" s="154"/>
      <c r="H77" s="154"/>
      <c r="I77" s="154"/>
      <c r="J77" s="154"/>
      <c r="K77" s="198"/>
      <c r="L77" s="45"/>
    </row>
    <row r="78" spans="1:22" s="8" customFormat="1" ht="15" customHeight="1" x14ac:dyDescent="0.25">
      <c r="A78" s="201"/>
      <c r="B78" s="157"/>
      <c r="C78" s="157"/>
      <c r="D78" s="157"/>
      <c r="E78" s="157"/>
      <c r="F78" s="157"/>
      <c r="G78" s="157"/>
      <c r="H78" s="157"/>
      <c r="I78" s="157"/>
      <c r="J78" s="157"/>
      <c r="K78" s="202"/>
      <c r="L78" s="45"/>
      <c r="M78"/>
      <c r="N78"/>
      <c r="O78"/>
      <c r="P78"/>
      <c r="Q78"/>
      <c r="R78"/>
      <c r="S78"/>
      <c r="T78"/>
      <c r="U78"/>
      <c r="V78"/>
    </row>
    <row r="79" spans="1:22" s="8" customFormat="1" ht="15" customHeight="1" x14ac:dyDescent="0.25">
      <c r="A79" s="33" t="s">
        <v>83</v>
      </c>
      <c r="B79" s="33" t="s">
        <v>198</v>
      </c>
      <c r="C79" s="34" t="s">
        <v>86</v>
      </c>
      <c r="D79" s="33" t="s">
        <v>87</v>
      </c>
      <c r="E79" s="33" t="s">
        <v>111</v>
      </c>
      <c r="F79" s="33" t="s">
        <v>84</v>
      </c>
      <c r="G79" s="33" t="s">
        <v>85</v>
      </c>
      <c r="H79" s="24" t="s">
        <v>165</v>
      </c>
      <c r="I79" s="24" t="s">
        <v>169</v>
      </c>
      <c r="J79" s="24" t="s">
        <v>165</v>
      </c>
      <c r="K79" s="24" t="s">
        <v>169</v>
      </c>
      <c r="L79" s="45"/>
      <c r="V79" s="8" t="s">
        <v>164</v>
      </c>
    </row>
    <row r="80" spans="1:22" s="8" customFormat="1" ht="15" customHeight="1" x14ac:dyDescent="0.25">
      <c r="A80" s="237" t="s">
        <v>113</v>
      </c>
      <c r="B80" s="20" t="s">
        <v>199</v>
      </c>
      <c r="C80" s="19"/>
      <c r="D80" s="17"/>
      <c r="E80" s="16"/>
      <c r="F80" s="18"/>
      <c r="G80" s="18"/>
      <c r="H80" s="37" t="str">
        <f>IFERROR(VLOOKUP(F80,'Product Spec'!B:D,2,FALSE)," ")</f>
        <v xml:space="preserve"> </v>
      </c>
      <c r="I80" s="37" t="str">
        <f>IFERROR(C80*H80*P80*MIN(1,2.4/E80)," ")</f>
        <v xml:space="preserve"> </v>
      </c>
      <c r="J80" s="37" t="str">
        <f>IFERROR(VLOOKUP(F80,'Product Spec'!B:D,3,FALSE)," ")</f>
        <v xml:space="preserve"> </v>
      </c>
      <c r="K80" s="37" t="str">
        <f>IFERROR(C80*J80*P80*MIN(1,2.4/E80)," ")</f>
        <v xml:space="preserve"> </v>
      </c>
      <c r="L80" s="45"/>
      <c r="P80" s="8">
        <f>IF(OR(D80=30,D80=45,D80=60),Q80,COS(R80))</f>
        <v>1</v>
      </c>
      <c r="Q80" s="8" t="e" cm="1">
        <f t="array" ref="Q80">_xlfn.IFS(D80=30,0.87,D80=45,0.7,D80=60,0.5)</f>
        <v>#N/A</v>
      </c>
      <c r="R80" s="8">
        <f>(PI()/180)*D80</f>
        <v>0</v>
      </c>
      <c r="S80" s="8">
        <f>H86/H87</f>
        <v>0</v>
      </c>
      <c r="V80" s="8">
        <f xml:space="preserve"> C87*15</f>
        <v>0</v>
      </c>
    </row>
    <row r="81" spans="1:22" s="8" customFormat="1" ht="15" customHeight="1" x14ac:dyDescent="0.25">
      <c r="A81" s="237"/>
      <c r="B81" s="20" t="s">
        <v>200</v>
      </c>
      <c r="C81" s="19"/>
      <c r="D81" s="17"/>
      <c r="E81" s="16"/>
      <c r="F81" s="18"/>
      <c r="G81" s="18"/>
      <c r="H81" s="37" t="str">
        <f>IFERROR(VLOOKUP(F81,'Product Spec'!B:D,2,FALSE)," ")</f>
        <v xml:space="preserve"> </v>
      </c>
      <c r="I81" s="37" t="str">
        <f t="shared" ref="I81:I85" si="24">IFERROR(C81*H81*P81*MIN(1,2.4/E81)," ")</f>
        <v xml:space="preserve"> </v>
      </c>
      <c r="J81" s="37" t="str">
        <f>IFERROR(VLOOKUP(F81,'Product Spec'!B:D,3,FALSE)," ")</f>
        <v xml:space="preserve"> </v>
      </c>
      <c r="K81" s="37" t="str">
        <f t="shared" ref="K81:K85" si="25">IFERROR(C81*J81*P81*MIN(1,2.4/E81)," ")</f>
        <v xml:space="preserve"> </v>
      </c>
      <c r="L81" s="45"/>
      <c r="P81" s="8">
        <f t="shared" ref="P81:P85" si="26">IF(OR(D81=30,D81=45,D81=60),Q81,COS(R81))</f>
        <v>1</v>
      </c>
      <c r="Q81" s="8" t="e" cm="1">
        <f t="array" ref="Q81">_xlfn.IFS(D81=30,0.87,D81=45,0.7,D81=60,0.5)</f>
        <v>#N/A</v>
      </c>
      <c r="R81" s="8">
        <f t="shared" ref="R81:R85" si="27">(PI()/180)*D81</f>
        <v>0</v>
      </c>
      <c r="S81" s="8">
        <f>J86/J87</f>
        <v>0</v>
      </c>
    </row>
    <row r="82" spans="1:22" s="8" customFormat="1" ht="15" customHeight="1" x14ac:dyDescent="0.25">
      <c r="A82" s="237"/>
      <c r="B82" s="20" t="s">
        <v>201</v>
      </c>
      <c r="C82" s="19"/>
      <c r="D82" s="17"/>
      <c r="E82" s="16"/>
      <c r="F82" s="18"/>
      <c r="G82" s="18"/>
      <c r="H82" s="37" t="str">
        <f>IFERROR(VLOOKUP(F82,'Product Spec'!B:D,2,FALSE)," ")</f>
        <v xml:space="preserve"> </v>
      </c>
      <c r="I82" s="37" t="str">
        <f t="shared" si="24"/>
        <v xml:space="preserve"> </v>
      </c>
      <c r="J82" s="37" t="str">
        <f>IFERROR(VLOOKUP(F82,'Product Spec'!B:D,3,FALSE)," ")</f>
        <v xml:space="preserve"> </v>
      </c>
      <c r="K82" s="37" t="str">
        <f t="shared" si="25"/>
        <v xml:space="preserve"> </v>
      </c>
      <c r="L82" s="45"/>
      <c r="P82" s="8">
        <f t="shared" si="26"/>
        <v>1</v>
      </c>
      <c r="Q82" s="8" t="e" cm="1">
        <f t="array" ref="Q82">_xlfn.IFS(D82=30,0.87,D82=45,0.7,D82=60,0.5)</f>
        <v>#N/A</v>
      </c>
      <c r="R82" s="8">
        <f t="shared" si="27"/>
        <v>0</v>
      </c>
    </row>
    <row r="83" spans="1:22" s="8" customFormat="1" ht="15" customHeight="1" x14ac:dyDescent="0.25">
      <c r="A83" s="237"/>
      <c r="B83" s="20" t="s">
        <v>202</v>
      </c>
      <c r="C83" s="19"/>
      <c r="D83" s="17"/>
      <c r="E83" s="16"/>
      <c r="F83" s="18"/>
      <c r="G83" s="18"/>
      <c r="H83" s="37" t="str">
        <f>IFERROR(VLOOKUP(F83,'Product Spec'!B:D,2,FALSE)," ")</f>
        <v xml:space="preserve"> </v>
      </c>
      <c r="I83" s="37" t="str">
        <f t="shared" si="24"/>
        <v xml:space="preserve"> </v>
      </c>
      <c r="J83" s="37" t="str">
        <f>IFERROR(VLOOKUP(F83,'Product Spec'!B:D,3,FALSE)," ")</f>
        <v xml:space="preserve"> </v>
      </c>
      <c r="K83" s="37" t="str">
        <f t="shared" si="25"/>
        <v xml:space="preserve"> </v>
      </c>
      <c r="L83" s="45"/>
      <c r="P83" s="8">
        <f t="shared" si="26"/>
        <v>1</v>
      </c>
      <c r="Q83" s="8" t="e" cm="1">
        <f t="array" ref="Q83">_xlfn.IFS(D83=30,0.87,D83=45,0.7,D83=60,0.5)</f>
        <v>#N/A</v>
      </c>
      <c r="R83" s="8">
        <f t="shared" si="27"/>
        <v>0</v>
      </c>
    </row>
    <row r="84" spans="1:22" s="8" customFormat="1" ht="15" customHeight="1" x14ac:dyDescent="0.25">
      <c r="A84" s="237"/>
      <c r="B84" s="20" t="s">
        <v>203</v>
      </c>
      <c r="C84" s="19"/>
      <c r="D84" s="17"/>
      <c r="E84" s="16"/>
      <c r="F84" s="18"/>
      <c r="G84" s="18"/>
      <c r="H84" s="37" t="str">
        <f>IFERROR(VLOOKUP(F84,'Product Spec'!B:D,2,FALSE)," ")</f>
        <v xml:space="preserve"> </v>
      </c>
      <c r="I84" s="37" t="str">
        <f t="shared" si="24"/>
        <v xml:space="preserve"> </v>
      </c>
      <c r="J84" s="37" t="str">
        <f>IFERROR(VLOOKUP(F84,'Product Spec'!B:D,3,FALSE)," ")</f>
        <v xml:space="preserve"> </v>
      </c>
      <c r="K84" s="37" t="str">
        <f t="shared" si="25"/>
        <v xml:space="preserve"> </v>
      </c>
      <c r="L84" s="45"/>
      <c r="P84" s="8">
        <f t="shared" si="26"/>
        <v>1</v>
      </c>
      <c r="Q84" s="8" t="e" cm="1">
        <f t="array" ref="Q84">_xlfn.IFS(D84=30,0.87,D84=45,0.7,D84=60,0.5)</f>
        <v>#N/A</v>
      </c>
      <c r="R84" s="8">
        <f t="shared" si="27"/>
        <v>0</v>
      </c>
    </row>
    <row r="85" spans="1:22" s="8" customFormat="1" ht="15" customHeight="1" x14ac:dyDescent="0.25">
      <c r="A85" s="237"/>
      <c r="B85" s="20" t="s">
        <v>204</v>
      </c>
      <c r="C85" s="19"/>
      <c r="D85" s="17"/>
      <c r="E85" s="16"/>
      <c r="F85" s="18"/>
      <c r="G85" s="18"/>
      <c r="H85" s="37" t="str">
        <f>IFERROR(VLOOKUP(F85,'Product Spec'!B:D,2,FALSE)," ")</f>
        <v xml:space="preserve"> </v>
      </c>
      <c r="I85" s="37" t="str">
        <f t="shared" si="24"/>
        <v xml:space="preserve"> </v>
      </c>
      <c r="J85" s="37" t="str">
        <f>IFERROR(VLOOKUP(F85,'Product Spec'!B:D,3,FALSE)," ")</f>
        <v xml:space="preserve"> </v>
      </c>
      <c r="K85" s="37" t="str">
        <f t="shared" si="25"/>
        <v xml:space="preserve"> </v>
      </c>
      <c r="L85" s="45"/>
      <c r="P85" s="8">
        <f t="shared" si="26"/>
        <v>1</v>
      </c>
      <c r="Q85" s="8" t="e" cm="1">
        <f t="array" ref="Q85">_xlfn.IFS(D85=30,0.87,D85=45,0.7,D85=60,0.5)</f>
        <v>#N/A</v>
      </c>
      <c r="R85" s="8">
        <f t="shared" si="27"/>
        <v>0</v>
      </c>
    </row>
    <row r="86" spans="1:22" s="8" customFormat="1" ht="15" customHeight="1" x14ac:dyDescent="0.25">
      <c r="A86" s="237"/>
      <c r="B86" s="98" t="s">
        <v>170</v>
      </c>
      <c r="C86" s="99"/>
      <c r="D86" s="99"/>
      <c r="E86" s="99"/>
      <c r="F86" s="99"/>
      <c r="G86" s="100"/>
      <c r="H86" s="179" cm="1">
        <f t="array" ref="H86">IF(D8&lt;7,0,SUM(IFERROR(I80:I85,0)))</f>
        <v>0</v>
      </c>
      <c r="I86" s="180"/>
      <c r="J86" s="179" cm="1">
        <f t="array" ref="J86">IF(D8&lt;7,0,SUM(IFERROR(K80:K85,0)))</f>
        <v>0</v>
      </c>
      <c r="K86" s="180"/>
      <c r="L86" s="45"/>
    </row>
    <row r="87" spans="1:22" s="8" customFormat="1" ht="15" customHeight="1" x14ac:dyDescent="0.25">
      <c r="A87" s="35" t="s">
        <v>168</v>
      </c>
      <c r="B87" s="160"/>
      <c r="C87" s="161"/>
      <c r="D87" s="99" t="s">
        <v>166</v>
      </c>
      <c r="E87" s="99"/>
      <c r="F87" s="99"/>
      <c r="G87" s="100"/>
      <c r="H87" s="150">
        <f>MAX(100,(0.5*$D$3)/$D$8,V80)</f>
        <v>100</v>
      </c>
      <c r="I87" s="151"/>
      <c r="J87" s="150">
        <f>MAX(100,(0.5*$I$3)/$D$8,V80)</f>
        <v>100</v>
      </c>
      <c r="K87" s="151"/>
      <c r="L87" s="45"/>
    </row>
    <row r="88" spans="1:22" customFormat="1" ht="15" customHeight="1" x14ac:dyDescent="0.25">
      <c r="A88" s="197" t="str">
        <f>IF(OR(S80&lt;1,S81&lt;1),"Warning: Doesn’t meet the minimum BU's requirement per line."," ")</f>
        <v>Warning: Doesn’t meet the minimum BU's requirement per line.</v>
      </c>
      <c r="B88" s="154"/>
      <c r="C88" s="154"/>
      <c r="D88" s="154"/>
      <c r="E88" s="154"/>
      <c r="F88" s="154"/>
      <c r="G88" s="154"/>
      <c r="H88" s="154"/>
      <c r="I88" s="154"/>
      <c r="J88" s="154"/>
      <c r="K88" s="198"/>
      <c r="L88" s="45"/>
    </row>
    <row r="89" spans="1:22" s="8" customFormat="1" ht="15" customHeight="1" x14ac:dyDescent="0.25">
      <c r="A89" s="201"/>
      <c r="B89" s="157"/>
      <c r="C89" s="157"/>
      <c r="D89" s="157"/>
      <c r="E89" s="157"/>
      <c r="F89" s="157"/>
      <c r="G89" s="157"/>
      <c r="H89" s="157"/>
      <c r="I89" s="157"/>
      <c r="J89" s="157"/>
      <c r="K89" s="202"/>
      <c r="L89" s="45"/>
      <c r="M89"/>
      <c r="N89"/>
      <c r="O89"/>
      <c r="P89"/>
      <c r="Q89"/>
      <c r="R89"/>
      <c r="S89"/>
      <c r="T89"/>
      <c r="U89"/>
      <c r="V89"/>
    </row>
    <row r="90" spans="1:22" s="8" customFormat="1" ht="15" customHeight="1" x14ac:dyDescent="0.25">
      <c r="A90" s="33" t="s">
        <v>83</v>
      </c>
      <c r="B90" s="33" t="s">
        <v>198</v>
      </c>
      <c r="C90" s="34" t="s">
        <v>86</v>
      </c>
      <c r="D90" s="33" t="s">
        <v>87</v>
      </c>
      <c r="E90" s="33" t="s">
        <v>111</v>
      </c>
      <c r="F90" s="33" t="s">
        <v>84</v>
      </c>
      <c r="G90" s="33" t="s">
        <v>85</v>
      </c>
      <c r="H90" s="24" t="s">
        <v>165</v>
      </c>
      <c r="I90" s="24" t="s">
        <v>169</v>
      </c>
      <c r="J90" s="24" t="s">
        <v>165</v>
      </c>
      <c r="K90" s="24" t="s">
        <v>169</v>
      </c>
      <c r="L90" s="45"/>
      <c r="V90" s="8" t="s">
        <v>164</v>
      </c>
    </row>
    <row r="91" spans="1:22" s="8" customFormat="1" ht="15" customHeight="1" x14ac:dyDescent="0.25">
      <c r="A91" s="237" t="s">
        <v>114</v>
      </c>
      <c r="B91" s="20" t="s">
        <v>199</v>
      </c>
      <c r="C91" s="19"/>
      <c r="D91" s="17"/>
      <c r="E91" s="16"/>
      <c r="F91" s="18"/>
      <c r="G91" s="18"/>
      <c r="H91" s="37" t="str">
        <f>IFERROR(VLOOKUP(F91,'Product Spec'!B:D,2,FALSE)," ")</f>
        <v xml:space="preserve"> </v>
      </c>
      <c r="I91" s="37" t="str">
        <f>IFERROR(C91*H91*P91*MIN(1,2.4/E91)," ")</f>
        <v xml:space="preserve"> </v>
      </c>
      <c r="J91" s="37" t="str">
        <f>IFERROR(VLOOKUP(F91,'Product Spec'!B:D,3,FALSE)," ")</f>
        <v xml:space="preserve"> </v>
      </c>
      <c r="K91" s="37" t="str">
        <f>IFERROR(C91*J91*P91*MIN(1,2.4/E91)," ")</f>
        <v xml:space="preserve"> </v>
      </c>
      <c r="L91" s="45"/>
      <c r="P91" s="8">
        <f>IF(OR(D91=30,D91=45,D91=60),Q91,COS(R91))</f>
        <v>1</v>
      </c>
      <c r="Q91" s="8" t="e" cm="1">
        <f t="array" ref="Q91">_xlfn.IFS(D91=30,0.87,D91=45,0.7,D91=60,0.5)</f>
        <v>#N/A</v>
      </c>
      <c r="R91" s="8">
        <f>(PI()/180)*D91</f>
        <v>0</v>
      </c>
      <c r="S91" s="8">
        <f>H97/H98</f>
        <v>0</v>
      </c>
      <c r="V91" s="8">
        <f xml:space="preserve"> C98*15</f>
        <v>0</v>
      </c>
    </row>
    <row r="92" spans="1:22" s="8" customFormat="1" ht="15" customHeight="1" x14ac:dyDescent="0.25">
      <c r="A92" s="237"/>
      <c r="B92" s="20" t="s">
        <v>200</v>
      </c>
      <c r="C92" s="19"/>
      <c r="D92" s="17"/>
      <c r="E92" s="16"/>
      <c r="F92" s="18"/>
      <c r="G92" s="18"/>
      <c r="H92" s="37" t="str">
        <f>IFERROR(VLOOKUP(F92,'Product Spec'!B:D,2,FALSE)," ")</f>
        <v xml:space="preserve"> </v>
      </c>
      <c r="I92" s="37" t="str">
        <f t="shared" ref="I92:I96" si="28">IFERROR(C92*H92*P92*MIN(1,2.4/E92)," ")</f>
        <v xml:space="preserve"> </v>
      </c>
      <c r="J92" s="37" t="str">
        <f>IFERROR(VLOOKUP(F92,'Product Spec'!B:D,3,FALSE)," ")</f>
        <v xml:space="preserve"> </v>
      </c>
      <c r="K92" s="37" t="str">
        <f t="shared" ref="K92:K96" si="29">IFERROR(C92*J92*P92*MIN(1,2.4/E92)," ")</f>
        <v xml:space="preserve"> </v>
      </c>
      <c r="L92" s="45"/>
      <c r="P92" s="8">
        <f t="shared" ref="P92:P96" si="30">IF(OR(D92=30,D92=45,D92=60),Q92,COS(R92))</f>
        <v>1</v>
      </c>
      <c r="Q92" s="8" t="e" cm="1">
        <f t="array" ref="Q92">_xlfn.IFS(D92=30,0.87,D92=45,0.7,D92=60,0.5)</f>
        <v>#N/A</v>
      </c>
      <c r="R92" s="8">
        <f t="shared" ref="R92:R96" si="31">(PI()/180)*D92</f>
        <v>0</v>
      </c>
      <c r="S92" s="8">
        <f>J97/J98</f>
        <v>0</v>
      </c>
    </row>
    <row r="93" spans="1:22" s="8" customFormat="1" ht="15" customHeight="1" x14ac:dyDescent="0.25">
      <c r="A93" s="237"/>
      <c r="B93" s="20" t="s">
        <v>201</v>
      </c>
      <c r="C93" s="19"/>
      <c r="D93" s="17"/>
      <c r="E93" s="16"/>
      <c r="F93" s="18"/>
      <c r="G93" s="18"/>
      <c r="H93" s="37" t="str">
        <f>IFERROR(VLOOKUP(F93,'Product Spec'!B:D,2,FALSE)," ")</f>
        <v xml:space="preserve"> </v>
      </c>
      <c r="I93" s="37" t="str">
        <f t="shared" si="28"/>
        <v xml:space="preserve"> </v>
      </c>
      <c r="J93" s="37" t="str">
        <f>IFERROR(VLOOKUP(F93,'Product Spec'!B:D,3,FALSE)," ")</f>
        <v xml:space="preserve"> </v>
      </c>
      <c r="K93" s="37" t="str">
        <f t="shared" si="29"/>
        <v xml:space="preserve"> </v>
      </c>
      <c r="L93" s="45"/>
      <c r="P93" s="8">
        <f t="shared" si="30"/>
        <v>1</v>
      </c>
      <c r="Q93" s="8" t="e" cm="1">
        <f t="array" ref="Q93">_xlfn.IFS(D93=30,0.87,D93=45,0.7,D93=60,0.5)</f>
        <v>#N/A</v>
      </c>
      <c r="R93" s="8">
        <f t="shared" si="31"/>
        <v>0</v>
      </c>
    </row>
    <row r="94" spans="1:22" s="8" customFormat="1" ht="15" customHeight="1" x14ac:dyDescent="0.25">
      <c r="A94" s="237"/>
      <c r="B94" s="20" t="s">
        <v>202</v>
      </c>
      <c r="C94" s="19"/>
      <c r="D94" s="17"/>
      <c r="E94" s="16"/>
      <c r="F94" s="18"/>
      <c r="G94" s="18"/>
      <c r="H94" s="37" t="str">
        <f>IFERROR(VLOOKUP(F94,'Product Spec'!B:D,2,FALSE)," ")</f>
        <v xml:space="preserve"> </v>
      </c>
      <c r="I94" s="37" t="str">
        <f t="shared" si="28"/>
        <v xml:space="preserve"> </v>
      </c>
      <c r="J94" s="37" t="str">
        <f>IFERROR(VLOOKUP(F94,'Product Spec'!B:D,3,FALSE)," ")</f>
        <v xml:space="preserve"> </v>
      </c>
      <c r="K94" s="37" t="str">
        <f t="shared" si="29"/>
        <v xml:space="preserve"> </v>
      </c>
      <c r="L94" s="45"/>
      <c r="P94" s="8">
        <f t="shared" si="30"/>
        <v>1</v>
      </c>
      <c r="Q94" s="8" t="e" cm="1">
        <f t="array" ref="Q94">_xlfn.IFS(D94=30,0.87,D94=45,0.7,D94=60,0.5)</f>
        <v>#N/A</v>
      </c>
      <c r="R94" s="8">
        <f t="shared" si="31"/>
        <v>0</v>
      </c>
    </row>
    <row r="95" spans="1:22" s="8" customFormat="1" ht="15" customHeight="1" x14ac:dyDescent="0.25">
      <c r="A95" s="237"/>
      <c r="B95" s="20" t="s">
        <v>203</v>
      </c>
      <c r="C95" s="19"/>
      <c r="D95" s="17"/>
      <c r="E95" s="16"/>
      <c r="F95" s="18"/>
      <c r="G95" s="18"/>
      <c r="H95" s="37" t="str">
        <f>IFERROR(VLOOKUP(F95,'Product Spec'!B:D,2,FALSE)," ")</f>
        <v xml:space="preserve"> </v>
      </c>
      <c r="I95" s="37" t="str">
        <f t="shared" si="28"/>
        <v xml:space="preserve"> </v>
      </c>
      <c r="J95" s="37" t="str">
        <f>IFERROR(VLOOKUP(F95,'Product Spec'!B:D,3,FALSE)," ")</f>
        <v xml:space="preserve"> </v>
      </c>
      <c r="K95" s="37" t="str">
        <f t="shared" si="29"/>
        <v xml:space="preserve"> </v>
      </c>
      <c r="L95" s="45"/>
      <c r="P95" s="8">
        <f t="shared" si="30"/>
        <v>1</v>
      </c>
      <c r="Q95" s="8" t="e" cm="1">
        <f t="array" ref="Q95">_xlfn.IFS(D95=30,0.87,D95=45,0.7,D95=60,0.5)</f>
        <v>#N/A</v>
      </c>
      <c r="R95" s="8">
        <f t="shared" si="31"/>
        <v>0</v>
      </c>
    </row>
    <row r="96" spans="1:22" s="8" customFormat="1" ht="15" customHeight="1" x14ac:dyDescent="0.25">
      <c r="A96" s="237"/>
      <c r="B96" s="20" t="s">
        <v>204</v>
      </c>
      <c r="C96" s="19"/>
      <c r="D96" s="17"/>
      <c r="E96" s="16"/>
      <c r="F96" s="18"/>
      <c r="G96" s="18"/>
      <c r="H96" s="37" t="str">
        <f>IFERROR(VLOOKUP(F96,'Product Spec'!B:D,2,FALSE)," ")</f>
        <v xml:space="preserve"> </v>
      </c>
      <c r="I96" s="37" t="str">
        <f t="shared" si="28"/>
        <v xml:space="preserve"> </v>
      </c>
      <c r="J96" s="37" t="str">
        <f>IFERROR(VLOOKUP(F96,'Product Spec'!B:D,3,FALSE)," ")</f>
        <v xml:space="preserve"> </v>
      </c>
      <c r="K96" s="37" t="str">
        <f t="shared" si="29"/>
        <v xml:space="preserve"> </v>
      </c>
      <c r="L96" s="45"/>
      <c r="P96" s="8">
        <f t="shared" si="30"/>
        <v>1</v>
      </c>
      <c r="Q96" s="8" t="e" cm="1">
        <f t="array" ref="Q96">_xlfn.IFS(D96=30,0.87,D96=45,0.7,D96=60,0.5)</f>
        <v>#N/A</v>
      </c>
      <c r="R96" s="8">
        <f t="shared" si="31"/>
        <v>0</v>
      </c>
    </row>
    <row r="97" spans="1:22" s="8" customFormat="1" ht="15" customHeight="1" x14ac:dyDescent="0.25">
      <c r="A97" s="237"/>
      <c r="B97" s="98" t="s">
        <v>170</v>
      </c>
      <c r="C97" s="99"/>
      <c r="D97" s="99"/>
      <c r="E97" s="99"/>
      <c r="F97" s="99"/>
      <c r="G97" s="100"/>
      <c r="H97" s="179" cm="1">
        <f t="array" ref="H97">IF(D8&lt;8,0,SUM(IFERROR(I91:I96,0)))</f>
        <v>0</v>
      </c>
      <c r="I97" s="180"/>
      <c r="J97" s="179" cm="1">
        <f t="array" ref="J97">IF(D8&lt;8,0,SUM(IFERROR(K91:K96,0)))</f>
        <v>0</v>
      </c>
      <c r="K97" s="180"/>
      <c r="L97" s="45"/>
    </row>
    <row r="98" spans="1:22" s="8" customFormat="1" ht="15" customHeight="1" x14ac:dyDescent="0.25">
      <c r="A98" s="35" t="s">
        <v>168</v>
      </c>
      <c r="B98" s="160"/>
      <c r="C98" s="161"/>
      <c r="D98" s="99" t="s">
        <v>166</v>
      </c>
      <c r="E98" s="99"/>
      <c r="F98" s="99"/>
      <c r="G98" s="100"/>
      <c r="H98" s="150">
        <f>MAX(100,(0.5*$D$3)/$D$8,V91)</f>
        <v>100</v>
      </c>
      <c r="I98" s="151"/>
      <c r="J98" s="150">
        <f>MAX(100,(0.5*$I$3)/$D$8,V91)</f>
        <v>100</v>
      </c>
      <c r="K98" s="151"/>
      <c r="L98" s="45"/>
    </row>
    <row r="99" spans="1:22" customFormat="1" ht="15" customHeight="1" x14ac:dyDescent="0.25">
      <c r="A99" s="197" t="str">
        <f>IF(OR(S91&lt;1,S92&lt;1),"Warning: Doesn’t meet the minimum BU's requirement per line."," ")</f>
        <v>Warning: Doesn’t meet the minimum BU's requirement per line.</v>
      </c>
      <c r="B99" s="154"/>
      <c r="C99" s="154"/>
      <c r="D99" s="154"/>
      <c r="E99" s="154"/>
      <c r="F99" s="154"/>
      <c r="G99" s="154"/>
      <c r="H99" s="154"/>
      <c r="I99" s="154"/>
      <c r="J99" s="154"/>
      <c r="K99" s="198"/>
      <c r="L99" s="45"/>
    </row>
    <row r="100" spans="1:22" s="8" customFormat="1" ht="15" customHeight="1" x14ac:dyDescent="0.25">
      <c r="A100" s="201"/>
      <c r="B100" s="157"/>
      <c r="C100" s="157"/>
      <c r="D100" s="157"/>
      <c r="E100" s="157"/>
      <c r="F100" s="157"/>
      <c r="G100" s="157"/>
      <c r="H100" s="157"/>
      <c r="I100" s="157"/>
      <c r="J100" s="157"/>
      <c r="K100" s="202"/>
      <c r="L100" s="45"/>
      <c r="M100"/>
      <c r="N100"/>
      <c r="O100"/>
      <c r="P100"/>
      <c r="Q100"/>
      <c r="R100"/>
      <c r="S100"/>
      <c r="T100"/>
      <c r="U100"/>
      <c r="V100"/>
    </row>
    <row r="101" spans="1:22" s="8" customFormat="1" ht="15" customHeight="1" x14ac:dyDescent="0.25">
      <c r="A101" s="33" t="s">
        <v>83</v>
      </c>
      <c r="B101" s="33" t="s">
        <v>198</v>
      </c>
      <c r="C101" s="34" t="s">
        <v>86</v>
      </c>
      <c r="D101" s="33" t="s">
        <v>87</v>
      </c>
      <c r="E101" s="33" t="s">
        <v>111</v>
      </c>
      <c r="F101" s="33" t="s">
        <v>84</v>
      </c>
      <c r="G101" s="33" t="s">
        <v>85</v>
      </c>
      <c r="H101" s="24" t="s">
        <v>165</v>
      </c>
      <c r="I101" s="24" t="s">
        <v>169</v>
      </c>
      <c r="J101" s="24" t="s">
        <v>165</v>
      </c>
      <c r="K101" s="24" t="s">
        <v>169</v>
      </c>
      <c r="L101" s="45"/>
      <c r="V101" s="8" t="s">
        <v>164</v>
      </c>
    </row>
    <row r="102" spans="1:22" s="8" customFormat="1" ht="15" customHeight="1" x14ac:dyDescent="0.25">
      <c r="A102" s="237" t="s">
        <v>116</v>
      </c>
      <c r="B102" s="20" t="s">
        <v>199</v>
      </c>
      <c r="C102" s="19"/>
      <c r="D102" s="17"/>
      <c r="E102" s="16"/>
      <c r="F102" s="18"/>
      <c r="G102" s="18"/>
      <c r="H102" s="37" t="str">
        <f>IFERROR(VLOOKUP(F102,'Product Spec'!B:D,2,FALSE)," ")</f>
        <v xml:space="preserve"> </v>
      </c>
      <c r="I102" s="37" t="str">
        <f>IFERROR(C102*H102*P102*MIN(1,2.4/E102)," ")</f>
        <v xml:space="preserve"> </v>
      </c>
      <c r="J102" s="37" t="str">
        <f>IFERROR(VLOOKUP(F102,'Product Spec'!B:D,3,FALSE)," ")</f>
        <v xml:space="preserve"> </v>
      </c>
      <c r="K102" s="37" t="str">
        <f>IFERROR(C102*J102*P102*MIN(1,2.4/E102)," ")</f>
        <v xml:space="preserve"> </v>
      </c>
      <c r="L102" s="45"/>
      <c r="P102" s="8">
        <f>IF(OR(D102=30,D102=45,D102=60),Q102,COS(R102))</f>
        <v>1</v>
      </c>
      <c r="Q102" s="8" t="e" cm="1">
        <f t="array" ref="Q102">_xlfn.IFS(D102=30,0.87,D102=45,0.7,D102=60,0.5)</f>
        <v>#N/A</v>
      </c>
      <c r="R102" s="8">
        <f>(PI()/180)*D102</f>
        <v>0</v>
      </c>
      <c r="S102" s="8">
        <f>H108/H109</f>
        <v>0</v>
      </c>
      <c r="V102" s="8">
        <f xml:space="preserve"> C109*15</f>
        <v>0</v>
      </c>
    </row>
    <row r="103" spans="1:22" s="8" customFormat="1" ht="15" customHeight="1" x14ac:dyDescent="0.25">
      <c r="A103" s="237"/>
      <c r="B103" s="20" t="s">
        <v>200</v>
      </c>
      <c r="C103" s="19"/>
      <c r="D103" s="17"/>
      <c r="E103" s="16"/>
      <c r="F103" s="18"/>
      <c r="G103" s="18"/>
      <c r="H103" s="37" t="str">
        <f>IFERROR(VLOOKUP(F103,'Product Spec'!B:D,2,FALSE)," ")</f>
        <v xml:space="preserve"> </v>
      </c>
      <c r="I103" s="37" t="str">
        <f t="shared" ref="I103:I107" si="32">IFERROR(C103*H103*P103*MIN(1,2.4/E103)," ")</f>
        <v xml:space="preserve"> </v>
      </c>
      <c r="J103" s="37" t="str">
        <f>IFERROR(VLOOKUP(F103,'Product Spec'!B:D,3,FALSE)," ")</f>
        <v xml:space="preserve"> </v>
      </c>
      <c r="K103" s="37" t="str">
        <f t="shared" ref="K103:K107" si="33">IFERROR(C103*J103*P103*MIN(1,2.4/E103)," ")</f>
        <v xml:space="preserve"> </v>
      </c>
      <c r="L103" s="45"/>
      <c r="P103" s="8">
        <f t="shared" ref="P103:P107" si="34">IF(OR(D103=30,D103=45,D103=60),Q103,COS(R103))</f>
        <v>1</v>
      </c>
      <c r="Q103" s="8" t="e" cm="1">
        <f t="array" ref="Q103">_xlfn.IFS(D103=30,0.87,D103=45,0.7,D103=60,0.5)</f>
        <v>#N/A</v>
      </c>
      <c r="R103" s="8">
        <f t="shared" ref="R103:R107" si="35">(PI()/180)*D103</f>
        <v>0</v>
      </c>
      <c r="S103" s="8">
        <f>J108/J109</f>
        <v>0</v>
      </c>
    </row>
    <row r="104" spans="1:22" s="8" customFormat="1" ht="15" customHeight="1" x14ac:dyDescent="0.25">
      <c r="A104" s="237"/>
      <c r="B104" s="20" t="s">
        <v>201</v>
      </c>
      <c r="C104" s="19"/>
      <c r="D104" s="17"/>
      <c r="E104" s="16"/>
      <c r="F104" s="18"/>
      <c r="G104" s="18"/>
      <c r="H104" s="37" t="str">
        <f>IFERROR(VLOOKUP(F104,'Product Spec'!B:D,2,FALSE)," ")</f>
        <v xml:space="preserve"> </v>
      </c>
      <c r="I104" s="37" t="str">
        <f t="shared" si="32"/>
        <v xml:space="preserve"> </v>
      </c>
      <c r="J104" s="37" t="str">
        <f>IFERROR(VLOOKUP(F104,'Product Spec'!B:D,3,FALSE)," ")</f>
        <v xml:space="preserve"> </v>
      </c>
      <c r="K104" s="37" t="str">
        <f t="shared" si="33"/>
        <v xml:space="preserve"> </v>
      </c>
      <c r="L104" s="45"/>
      <c r="P104" s="8">
        <f t="shared" si="34"/>
        <v>1</v>
      </c>
      <c r="Q104" s="8" t="e" cm="1">
        <f t="array" ref="Q104">_xlfn.IFS(D104=30,0.87,D104=45,0.7,D104=60,0.5)</f>
        <v>#N/A</v>
      </c>
      <c r="R104" s="8">
        <f t="shared" si="35"/>
        <v>0</v>
      </c>
    </row>
    <row r="105" spans="1:22" s="8" customFormat="1" ht="15" customHeight="1" x14ac:dyDescent="0.25">
      <c r="A105" s="237"/>
      <c r="B105" s="20" t="s">
        <v>202</v>
      </c>
      <c r="C105" s="19"/>
      <c r="D105" s="17"/>
      <c r="E105" s="16"/>
      <c r="F105" s="18"/>
      <c r="G105" s="18"/>
      <c r="H105" s="37" t="str">
        <f>IFERROR(VLOOKUP(F105,'Product Spec'!B:D,2,FALSE)," ")</f>
        <v xml:space="preserve"> </v>
      </c>
      <c r="I105" s="37" t="str">
        <f t="shared" si="32"/>
        <v xml:space="preserve"> </v>
      </c>
      <c r="J105" s="37" t="str">
        <f>IFERROR(VLOOKUP(F105,'Product Spec'!B:D,3,FALSE)," ")</f>
        <v xml:space="preserve"> </v>
      </c>
      <c r="K105" s="37" t="str">
        <f t="shared" si="33"/>
        <v xml:space="preserve"> </v>
      </c>
      <c r="L105" s="45"/>
      <c r="P105" s="8">
        <f t="shared" si="34"/>
        <v>1</v>
      </c>
      <c r="Q105" s="8" t="e" cm="1">
        <f t="array" ref="Q105">_xlfn.IFS(D105=30,0.87,D105=45,0.7,D105=60,0.5)</f>
        <v>#N/A</v>
      </c>
      <c r="R105" s="8">
        <f t="shared" si="35"/>
        <v>0</v>
      </c>
    </row>
    <row r="106" spans="1:22" s="8" customFormat="1" ht="15" customHeight="1" x14ac:dyDescent="0.25">
      <c r="A106" s="237"/>
      <c r="B106" s="20" t="s">
        <v>203</v>
      </c>
      <c r="C106" s="19"/>
      <c r="D106" s="17"/>
      <c r="E106" s="16"/>
      <c r="F106" s="18"/>
      <c r="G106" s="18"/>
      <c r="H106" s="37" t="str">
        <f>IFERROR(VLOOKUP(F106,'Product Spec'!B:D,2,FALSE)," ")</f>
        <v xml:space="preserve"> </v>
      </c>
      <c r="I106" s="37" t="str">
        <f t="shared" si="32"/>
        <v xml:space="preserve"> </v>
      </c>
      <c r="J106" s="37" t="str">
        <f>IFERROR(VLOOKUP(F106,'Product Spec'!B:D,3,FALSE)," ")</f>
        <v xml:space="preserve"> </v>
      </c>
      <c r="K106" s="37" t="str">
        <f t="shared" si="33"/>
        <v xml:space="preserve"> </v>
      </c>
      <c r="L106" s="45"/>
      <c r="P106" s="8">
        <f t="shared" si="34"/>
        <v>1</v>
      </c>
      <c r="Q106" s="8" t="e" cm="1">
        <f t="array" ref="Q106">_xlfn.IFS(D106=30,0.87,D106=45,0.7,D106=60,0.5)</f>
        <v>#N/A</v>
      </c>
      <c r="R106" s="8">
        <f t="shared" si="35"/>
        <v>0</v>
      </c>
    </row>
    <row r="107" spans="1:22" s="8" customFormat="1" ht="15" customHeight="1" x14ac:dyDescent="0.25">
      <c r="A107" s="237"/>
      <c r="B107" s="20" t="s">
        <v>204</v>
      </c>
      <c r="C107" s="19"/>
      <c r="D107" s="17"/>
      <c r="E107" s="16"/>
      <c r="F107" s="18"/>
      <c r="G107" s="18"/>
      <c r="H107" s="37" t="str">
        <f>IFERROR(VLOOKUP(F107,'Product Spec'!B:D,2,FALSE)," ")</f>
        <v xml:space="preserve"> </v>
      </c>
      <c r="I107" s="37" t="str">
        <f t="shared" si="32"/>
        <v xml:space="preserve"> </v>
      </c>
      <c r="J107" s="37" t="str">
        <f>IFERROR(VLOOKUP(F107,'Product Spec'!B:D,3,FALSE)," ")</f>
        <v xml:space="preserve"> </v>
      </c>
      <c r="K107" s="37" t="str">
        <f t="shared" si="33"/>
        <v xml:space="preserve"> </v>
      </c>
      <c r="L107" s="45"/>
      <c r="P107" s="8">
        <f t="shared" si="34"/>
        <v>1</v>
      </c>
      <c r="Q107" s="8" t="e" cm="1">
        <f t="array" ref="Q107">_xlfn.IFS(D107=30,0.87,D107=45,0.7,D107=60,0.5)</f>
        <v>#N/A</v>
      </c>
      <c r="R107" s="8">
        <f t="shared" si="35"/>
        <v>0</v>
      </c>
    </row>
    <row r="108" spans="1:22" s="8" customFormat="1" ht="15" customHeight="1" x14ac:dyDescent="0.25">
      <c r="A108" s="237"/>
      <c r="B108" s="98" t="s">
        <v>170</v>
      </c>
      <c r="C108" s="99"/>
      <c r="D108" s="99"/>
      <c r="E108" s="99"/>
      <c r="F108" s="99"/>
      <c r="G108" s="100"/>
      <c r="H108" s="179" cm="1">
        <f t="array" ref="H108">IF(D8&lt;9,0,SUM(IFERROR(I102:I107,0)))</f>
        <v>0</v>
      </c>
      <c r="I108" s="180"/>
      <c r="J108" s="179" cm="1">
        <f t="array" ref="J108">IF(D8&lt;9,0,SUM(IFERROR(K102:K107,0)))</f>
        <v>0</v>
      </c>
      <c r="K108" s="180"/>
      <c r="L108" s="45"/>
    </row>
    <row r="109" spans="1:22" s="8" customFormat="1" ht="15" customHeight="1" x14ac:dyDescent="0.25">
      <c r="A109" s="35" t="s">
        <v>168</v>
      </c>
      <c r="B109" s="160"/>
      <c r="C109" s="161"/>
      <c r="D109" s="99" t="s">
        <v>166</v>
      </c>
      <c r="E109" s="99"/>
      <c r="F109" s="99"/>
      <c r="G109" s="100"/>
      <c r="H109" s="150">
        <f>MAX(100,(0.5*$D$3)/$D$8,V102)</f>
        <v>100</v>
      </c>
      <c r="I109" s="151"/>
      <c r="J109" s="150">
        <f>MAX(100,(0.5*$I$3)/$D$8,V102)</f>
        <v>100</v>
      </c>
      <c r="K109" s="151"/>
      <c r="L109" s="45"/>
    </row>
    <row r="110" spans="1:22" customFormat="1" ht="15" customHeight="1" x14ac:dyDescent="0.25">
      <c r="A110" s="197" t="str">
        <f>IF(OR(S102&lt;1,S103&lt;1),"Warning: Doesn’t meet the minimum BU's requirement per line."," ")</f>
        <v>Warning: Doesn’t meet the minimum BU's requirement per line.</v>
      </c>
      <c r="B110" s="154"/>
      <c r="C110" s="154"/>
      <c r="D110" s="154"/>
      <c r="E110" s="154"/>
      <c r="F110" s="154"/>
      <c r="G110" s="154"/>
      <c r="H110" s="154"/>
      <c r="I110" s="154"/>
      <c r="J110" s="154"/>
      <c r="K110" s="198"/>
      <c r="L110" s="45"/>
    </row>
    <row r="111" spans="1:22" s="8" customFormat="1" ht="15" customHeight="1" x14ac:dyDescent="0.25">
      <c r="A111" s="201"/>
      <c r="B111" s="157"/>
      <c r="C111" s="157"/>
      <c r="D111" s="157"/>
      <c r="E111" s="157"/>
      <c r="F111" s="157"/>
      <c r="G111" s="157"/>
      <c r="H111" s="157"/>
      <c r="I111" s="157"/>
      <c r="J111" s="157"/>
      <c r="K111" s="202"/>
      <c r="L111" s="45"/>
      <c r="M111"/>
      <c r="N111"/>
      <c r="O111"/>
      <c r="P111"/>
      <c r="Q111"/>
      <c r="R111"/>
      <c r="S111"/>
      <c r="T111"/>
      <c r="U111"/>
      <c r="V111"/>
    </row>
    <row r="112" spans="1:22" s="8" customFormat="1" ht="15" customHeight="1" x14ac:dyDescent="0.25">
      <c r="A112" s="33" t="s">
        <v>83</v>
      </c>
      <c r="B112" s="33" t="s">
        <v>198</v>
      </c>
      <c r="C112" s="34" t="s">
        <v>86</v>
      </c>
      <c r="D112" s="33" t="s">
        <v>87</v>
      </c>
      <c r="E112" s="33" t="s">
        <v>111</v>
      </c>
      <c r="F112" s="33" t="s">
        <v>84</v>
      </c>
      <c r="G112" s="33" t="s">
        <v>85</v>
      </c>
      <c r="H112" s="24" t="s">
        <v>165</v>
      </c>
      <c r="I112" s="24" t="s">
        <v>169</v>
      </c>
      <c r="J112" s="24" t="s">
        <v>165</v>
      </c>
      <c r="K112" s="24" t="s">
        <v>169</v>
      </c>
      <c r="L112" s="45"/>
      <c r="V112" s="8" t="s">
        <v>164</v>
      </c>
    </row>
    <row r="113" spans="1:22" s="8" customFormat="1" ht="15" customHeight="1" x14ac:dyDescent="0.25">
      <c r="A113" s="237" t="s">
        <v>115</v>
      </c>
      <c r="B113" s="20" t="s">
        <v>199</v>
      </c>
      <c r="C113" s="19">
        <v>2.7</v>
      </c>
      <c r="D113" s="17"/>
      <c r="E113" s="16">
        <v>2.5</v>
      </c>
      <c r="F113" s="18" t="s">
        <v>132</v>
      </c>
      <c r="G113" s="18" t="s">
        <v>134</v>
      </c>
      <c r="H113" s="37">
        <f>IFERROR(VLOOKUP(F113,'Product Spec'!B:D,2,FALSE)," ")</f>
        <v>81</v>
      </c>
      <c r="I113" s="37">
        <f>IFERROR(C113*H113*P113*MIN(1,2.4/E113)," ")</f>
        <v>209.952</v>
      </c>
      <c r="J113" s="37">
        <f>IFERROR(VLOOKUP(F113,'Product Spec'!B:D,3,FALSE)," ")</f>
        <v>94</v>
      </c>
      <c r="K113" s="37">
        <f>IFERROR(C113*J113*P113*MIN(1,2.4/E113)," ")</f>
        <v>243.648</v>
      </c>
      <c r="L113" s="45"/>
      <c r="P113" s="8">
        <f>IF(OR(D113=30,D113=45,D113=60),Q113,COS(R113))</f>
        <v>1</v>
      </c>
      <c r="Q113" s="8" t="e" cm="1">
        <f t="array" ref="Q113">_xlfn.IFS(D113=30,0.87,D113=45,0.7,D113=60,0.5)</f>
        <v>#N/A</v>
      </c>
      <c r="R113" s="8">
        <f>(PI()/180)*D113</f>
        <v>0</v>
      </c>
      <c r="S113" s="8">
        <f>H119/H120</f>
        <v>2.0995200000000001</v>
      </c>
      <c r="V113" s="8">
        <f xml:space="preserve"> C120*15</f>
        <v>0</v>
      </c>
    </row>
    <row r="114" spans="1:22" s="8" customFormat="1" ht="15" customHeight="1" x14ac:dyDescent="0.25">
      <c r="A114" s="237"/>
      <c r="B114" s="20" t="s">
        <v>200</v>
      </c>
      <c r="C114" s="19"/>
      <c r="D114" s="17"/>
      <c r="E114" s="16"/>
      <c r="F114" s="18"/>
      <c r="G114" s="18"/>
      <c r="H114" s="37" t="str">
        <f>IFERROR(VLOOKUP(F114,'Product Spec'!B:D,2,FALSE)," ")</f>
        <v xml:space="preserve"> </v>
      </c>
      <c r="I114" s="37" t="str">
        <f t="shared" ref="I114:I118" si="36">IFERROR(C114*H114*P114*MIN(1,2.4/E114)," ")</f>
        <v xml:space="preserve"> </v>
      </c>
      <c r="J114" s="37" t="str">
        <f>IFERROR(VLOOKUP(F114,'Product Spec'!B:D,3,FALSE)," ")</f>
        <v xml:space="preserve"> </v>
      </c>
      <c r="K114" s="37" t="str">
        <f t="shared" ref="K114:K118" si="37">IFERROR(C114*J114*P114*MIN(1,2.4/E114)," ")</f>
        <v xml:space="preserve"> </v>
      </c>
      <c r="L114" s="45"/>
      <c r="P114" s="8">
        <f t="shared" ref="P114:P118" si="38">IF(OR(D114=30,D114=45,D114=60),Q114,COS(R114))</f>
        <v>1</v>
      </c>
      <c r="Q114" s="8" t="e" cm="1">
        <f t="array" ref="Q114">_xlfn.IFS(D114=30,0.87,D114=45,0.7,D114=60,0.5)</f>
        <v>#N/A</v>
      </c>
      <c r="R114" s="8">
        <f t="shared" ref="R114:R118" si="39">(PI()/180)*D114</f>
        <v>0</v>
      </c>
      <c r="S114" s="8">
        <f>J119/J120</f>
        <v>2.43648</v>
      </c>
    </row>
    <row r="115" spans="1:22" s="8" customFormat="1" ht="15" customHeight="1" x14ac:dyDescent="0.25">
      <c r="A115" s="237"/>
      <c r="B115" s="20" t="s">
        <v>201</v>
      </c>
      <c r="C115" s="19"/>
      <c r="D115" s="17"/>
      <c r="E115" s="16"/>
      <c r="F115" s="18"/>
      <c r="G115" s="18"/>
      <c r="H115" s="37" t="str">
        <f>IFERROR(VLOOKUP(F115,'Product Spec'!B:D,2,FALSE)," ")</f>
        <v xml:space="preserve"> </v>
      </c>
      <c r="I115" s="37" t="str">
        <f t="shared" si="36"/>
        <v xml:space="preserve"> </v>
      </c>
      <c r="J115" s="37" t="str">
        <f>IFERROR(VLOOKUP(F115,'Product Spec'!B:D,3,FALSE)," ")</f>
        <v xml:space="preserve"> </v>
      </c>
      <c r="K115" s="37" t="str">
        <f t="shared" si="37"/>
        <v xml:space="preserve"> </v>
      </c>
      <c r="L115" s="45"/>
      <c r="P115" s="8">
        <f t="shared" si="38"/>
        <v>1</v>
      </c>
      <c r="Q115" s="8" t="e" cm="1">
        <f t="array" ref="Q115">_xlfn.IFS(D115=30,0.87,D115=45,0.7,D115=60,0.5)</f>
        <v>#N/A</v>
      </c>
      <c r="R115" s="8">
        <f t="shared" si="39"/>
        <v>0</v>
      </c>
    </row>
    <row r="116" spans="1:22" s="8" customFormat="1" ht="15" customHeight="1" x14ac:dyDescent="0.25">
      <c r="A116" s="237"/>
      <c r="B116" s="20" t="s">
        <v>202</v>
      </c>
      <c r="C116" s="19"/>
      <c r="D116" s="17"/>
      <c r="E116" s="16"/>
      <c r="F116" s="18"/>
      <c r="G116" s="18"/>
      <c r="H116" s="37" t="str">
        <f>IFERROR(VLOOKUP(F116,'Product Spec'!B:D,2,FALSE)," ")</f>
        <v xml:space="preserve"> </v>
      </c>
      <c r="I116" s="37" t="str">
        <f t="shared" si="36"/>
        <v xml:space="preserve"> </v>
      </c>
      <c r="J116" s="37" t="str">
        <f>IFERROR(VLOOKUP(F116,'Product Spec'!B:D,3,FALSE)," ")</f>
        <v xml:space="preserve"> </v>
      </c>
      <c r="K116" s="37" t="str">
        <f t="shared" si="37"/>
        <v xml:space="preserve"> </v>
      </c>
      <c r="L116" s="45"/>
      <c r="P116" s="8">
        <f t="shared" si="38"/>
        <v>1</v>
      </c>
      <c r="Q116" s="8" t="e" cm="1">
        <f t="array" ref="Q116">_xlfn.IFS(D116=30,0.87,D116=45,0.7,D116=60,0.5)</f>
        <v>#N/A</v>
      </c>
      <c r="R116" s="8">
        <f t="shared" si="39"/>
        <v>0</v>
      </c>
    </row>
    <row r="117" spans="1:22" s="8" customFormat="1" ht="15" customHeight="1" x14ac:dyDescent="0.25">
      <c r="A117" s="237"/>
      <c r="B117" s="20" t="s">
        <v>203</v>
      </c>
      <c r="C117" s="19"/>
      <c r="D117" s="17"/>
      <c r="E117" s="16"/>
      <c r="F117" s="18"/>
      <c r="G117" s="18"/>
      <c r="H117" s="37" t="str">
        <f>IFERROR(VLOOKUP(F117,'Product Spec'!B:D,2,FALSE)," ")</f>
        <v xml:space="preserve"> </v>
      </c>
      <c r="I117" s="37" t="str">
        <f t="shared" si="36"/>
        <v xml:space="preserve"> </v>
      </c>
      <c r="J117" s="37" t="str">
        <f>IFERROR(VLOOKUP(F117,'Product Spec'!B:D,3,FALSE)," ")</f>
        <v xml:space="preserve"> </v>
      </c>
      <c r="K117" s="37" t="str">
        <f t="shared" si="37"/>
        <v xml:space="preserve"> </v>
      </c>
      <c r="L117" s="45"/>
      <c r="P117" s="8">
        <f t="shared" si="38"/>
        <v>1</v>
      </c>
      <c r="Q117" s="8" t="e" cm="1">
        <f t="array" ref="Q117">_xlfn.IFS(D117=30,0.87,D117=45,0.7,D117=60,0.5)</f>
        <v>#N/A</v>
      </c>
      <c r="R117" s="8">
        <f t="shared" si="39"/>
        <v>0</v>
      </c>
    </row>
    <row r="118" spans="1:22" s="8" customFormat="1" ht="15" customHeight="1" x14ac:dyDescent="0.25">
      <c r="A118" s="237"/>
      <c r="B118" s="20" t="s">
        <v>204</v>
      </c>
      <c r="C118" s="19"/>
      <c r="D118" s="17"/>
      <c r="E118" s="16"/>
      <c r="F118" s="18"/>
      <c r="G118" s="18"/>
      <c r="H118" s="37" t="str">
        <f>IFERROR(VLOOKUP(F118,'Product Spec'!B:D,2,FALSE)," ")</f>
        <v xml:space="preserve"> </v>
      </c>
      <c r="I118" s="37" t="str">
        <f t="shared" si="36"/>
        <v xml:space="preserve"> </v>
      </c>
      <c r="J118" s="37" t="str">
        <f>IFERROR(VLOOKUP(F118,'Product Spec'!B:D,3,FALSE)," ")</f>
        <v xml:space="preserve"> </v>
      </c>
      <c r="K118" s="37" t="str">
        <f t="shared" si="37"/>
        <v xml:space="preserve"> </v>
      </c>
      <c r="L118" s="45"/>
      <c r="P118" s="8">
        <f t="shared" si="38"/>
        <v>1</v>
      </c>
      <c r="Q118" s="8" t="e" cm="1">
        <f t="array" ref="Q118">_xlfn.IFS(D118=30,0.87,D118=45,0.7,D118=60,0.5)</f>
        <v>#N/A</v>
      </c>
      <c r="R118" s="8">
        <f t="shared" si="39"/>
        <v>0</v>
      </c>
    </row>
    <row r="119" spans="1:22" s="8" customFormat="1" ht="15" customHeight="1" x14ac:dyDescent="0.25">
      <c r="A119" s="237"/>
      <c r="B119" s="98" t="s">
        <v>170</v>
      </c>
      <c r="C119" s="99"/>
      <c r="D119" s="99"/>
      <c r="E119" s="99"/>
      <c r="F119" s="99"/>
      <c r="G119" s="100"/>
      <c r="H119" s="179" cm="1">
        <f t="array" ref="H119">IF(D8&lt;10,0,SUM(IFERROR(I113:I118,0)))</f>
        <v>209.952</v>
      </c>
      <c r="I119" s="180"/>
      <c r="J119" s="179" cm="1">
        <f t="array" ref="J119">IF(D8&lt;10,0,SUM(IFERROR(K113:K118,0)))</f>
        <v>243.648</v>
      </c>
      <c r="K119" s="180"/>
      <c r="L119" s="45"/>
    </row>
    <row r="120" spans="1:22" s="8" customFormat="1" ht="15" customHeight="1" x14ac:dyDescent="0.25">
      <c r="A120" s="35" t="s">
        <v>168</v>
      </c>
      <c r="B120" s="160"/>
      <c r="C120" s="161"/>
      <c r="D120" s="99" t="s">
        <v>166</v>
      </c>
      <c r="E120" s="99"/>
      <c r="F120" s="99"/>
      <c r="G120" s="100"/>
      <c r="H120" s="150">
        <f>MAX(100,(0.5*$D$3)/$D$8,V113)</f>
        <v>100</v>
      </c>
      <c r="I120" s="151"/>
      <c r="J120" s="150">
        <f>MAX(100,(0.5*$I$3)/$D$8,V113)</f>
        <v>100</v>
      </c>
      <c r="K120" s="151"/>
      <c r="L120" s="45"/>
    </row>
    <row r="121" spans="1:22" customFormat="1" ht="15" customHeight="1" x14ac:dyDescent="0.25">
      <c r="A121" s="197" t="str">
        <f>IF(OR(S113&lt;1,S114&lt;1),"Warning: Doesn’t meet the minimum BU's requirement per line."," ")</f>
        <v xml:space="preserve"> </v>
      </c>
      <c r="B121" s="154"/>
      <c r="C121" s="154"/>
      <c r="D121" s="154"/>
      <c r="E121" s="154"/>
      <c r="F121" s="154"/>
      <c r="G121" s="154"/>
      <c r="H121" s="154"/>
      <c r="I121" s="154"/>
      <c r="J121" s="154"/>
      <c r="K121" s="198"/>
      <c r="L121" s="45"/>
    </row>
    <row r="122" spans="1:22" s="8" customFormat="1" ht="15" customHeight="1" x14ac:dyDescent="0.25">
      <c r="A122" s="199"/>
      <c r="B122" s="192"/>
      <c r="C122" s="192"/>
      <c r="D122" s="192"/>
      <c r="E122" s="192"/>
      <c r="F122" s="192"/>
      <c r="G122" s="192"/>
      <c r="H122" s="192"/>
      <c r="I122" s="192"/>
      <c r="J122" s="192"/>
      <c r="K122" s="200"/>
      <c r="L122" s="45"/>
      <c r="M122"/>
      <c r="N122"/>
      <c r="O122"/>
      <c r="P122"/>
      <c r="Q122"/>
      <c r="R122"/>
      <c r="S122"/>
      <c r="T122"/>
      <c r="U122"/>
      <c r="V122"/>
    </row>
    <row r="123" spans="1:22" s="8" customFormat="1" ht="50.1" customHeight="1" x14ac:dyDescent="0.25">
      <c r="A123" s="205" t="s">
        <v>172</v>
      </c>
      <c r="B123" s="206"/>
      <c r="C123" s="206"/>
      <c r="D123" s="206"/>
      <c r="E123" s="206"/>
      <c r="F123" s="206"/>
      <c r="G123" s="206"/>
      <c r="H123" s="206"/>
      <c r="I123" s="206"/>
      <c r="J123" s="206"/>
      <c r="K123" s="207"/>
      <c r="L123" s="45"/>
      <c r="M123"/>
      <c r="N123"/>
      <c r="O123"/>
      <c r="P123"/>
      <c r="Q123"/>
      <c r="R123"/>
      <c r="S123"/>
      <c r="T123"/>
      <c r="U123"/>
      <c r="V123"/>
    </row>
    <row r="124" spans="1:22" s="8" customFormat="1" ht="26.25" customHeight="1" x14ac:dyDescent="0.25">
      <c r="A124" s="177" t="s">
        <v>103</v>
      </c>
      <c r="B124" s="177"/>
      <c r="C124" s="177"/>
      <c r="D124" s="177"/>
      <c r="E124" s="177"/>
      <c r="F124" s="177"/>
      <c r="G124" s="177" t="s">
        <v>104</v>
      </c>
      <c r="H124" s="177"/>
      <c r="I124" s="177"/>
      <c r="J124" s="177"/>
      <c r="K124" s="177"/>
      <c r="L124" s="45"/>
      <c r="M124"/>
      <c r="N124"/>
      <c r="O124"/>
      <c r="P124"/>
      <c r="Q124"/>
      <c r="R124"/>
      <c r="S124"/>
      <c r="T124"/>
      <c r="U124"/>
      <c r="V124"/>
    </row>
    <row r="125" spans="1:22" s="8" customFormat="1" ht="26.25" customHeight="1" x14ac:dyDescent="0.25">
      <c r="A125" s="166" t="s">
        <v>108</v>
      </c>
      <c r="B125" s="166"/>
      <c r="C125" s="166"/>
      <c r="D125" s="133">
        <f>IF('Bracing demand'!$DU$1=1,"#N/A",T1)</f>
        <v>1230</v>
      </c>
      <c r="E125" s="133"/>
      <c r="F125" s="33" t="s">
        <v>106</v>
      </c>
      <c r="G125" s="168" t="s">
        <v>108</v>
      </c>
      <c r="H125" s="168"/>
      <c r="I125" s="133">
        <f>IF('Bracing demand'!$DU$1=1,"#N/A",$T$2)</f>
        <v>936</v>
      </c>
      <c r="J125" s="133"/>
      <c r="K125" s="33" t="s">
        <v>106</v>
      </c>
      <c r="L125" s="45"/>
      <c r="O125"/>
      <c r="P125"/>
      <c r="Q125"/>
      <c r="R125"/>
      <c r="S125"/>
      <c r="T125"/>
      <c r="U125"/>
      <c r="V125"/>
    </row>
    <row r="126" spans="1:22" s="8" customFormat="1" ht="26.25" customHeight="1" x14ac:dyDescent="0.25">
      <c r="A126" s="166" t="s">
        <v>109</v>
      </c>
      <c r="B126" s="166"/>
      <c r="C126" s="166"/>
      <c r="D126" s="167">
        <f>ROUND(SUM(H142,H153,H164,H175,H186,H197,H208,H219,H230,H241),0)</f>
        <v>162</v>
      </c>
      <c r="E126" s="167"/>
      <c r="F126" s="33" t="s">
        <v>106</v>
      </c>
      <c r="G126" s="168" t="s">
        <v>109</v>
      </c>
      <c r="H126" s="168"/>
      <c r="I126" s="167">
        <f>ROUND(SUM(J142,J153,J164,J175,J186,J197,J208,J219,J230,J241),0)</f>
        <v>188</v>
      </c>
      <c r="J126" s="167"/>
      <c r="K126" s="33" t="s">
        <v>106</v>
      </c>
      <c r="L126" s="45"/>
      <c r="M126"/>
      <c r="N126"/>
      <c r="O126"/>
      <c r="P126"/>
      <c r="Q126"/>
      <c r="R126"/>
      <c r="S126"/>
      <c r="T126"/>
      <c r="U126"/>
      <c r="V126"/>
    </row>
    <row r="127" spans="1:22" s="8" customFormat="1" ht="26.25" customHeight="1" x14ac:dyDescent="0.25">
      <c r="A127" s="166" t="s">
        <v>110</v>
      </c>
      <c r="B127" s="166"/>
      <c r="C127" s="166"/>
      <c r="D127" s="167">
        <f>(D126/D3)*100</f>
        <v>29.454545454545457</v>
      </c>
      <c r="E127" s="167"/>
      <c r="F127" s="33" t="s">
        <v>105</v>
      </c>
      <c r="G127" s="168" t="s">
        <v>110</v>
      </c>
      <c r="H127" s="168"/>
      <c r="I127" s="167">
        <f>(I126/I125)*100</f>
        <v>20.085470085470085</v>
      </c>
      <c r="J127" s="167"/>
      <c r="K127" s="33" t="s">
        <v>105</v>
      </c>
      <c r="L127" s="45"/>
      <c r="M127"/>
      <c r="N127"/>
      <c r="O127"/>
      <c r="P127"/>
      <c r="Q127"/>
      <c r="R127"/>
      <c r="S127"/>
      <c r="T127"/>
      <c r="U127"/>
      <c r="V127"/>
    </row>
    <row r="128" spans="1:22" s="8" customFormat="1" ht="24.95" customHeight="1" x14ac:dyDescent="0.25">
      <c r="A128" s="97" t="str">
        <f>IF(D127&gt;=100,"Pass","Fail (Not Enough BU's Achieved).")</f>
        <v>Fail (Not Enough BU's Achieved).</v>
      </c>
      <c r="B128" s="97"/>
      <c r="C128" s="97"/>
      <c r="D128" s="97"/>
      <c r="E128" s="97"/>
      <c r="F128" s="97"/>
      <c r="G128" s="97" t="str">
        <f>IF(I127&gt;=100,"Pass","Fail (Not Enough BU's Achieved).")</f>
        <v>Fail (Not Enough BU's Achieved).</v>
      </c>
      <c r="H128" s="97"/>
      <c r="I128" s="97"/>
      <c r="J128" s="97"/>
      <c r="K128" s="97"/>
      <c r="L128" s="45"/>
      <c r="M128"/>
      <c r="N128"/>
      <c r="O128"/>
      <c r="P128"/>
      <c r="Q128"/>
      <c r="R128"/>
      <c r="S128"/>
      <c r="T128"/>
      <c r="U128"/>
      <c r="V128"/>
    </row>
    <row r="129" spans="1:23" s="8" customFormat="1" ht="24.95" customHeight="1" x14ac:dyDescent="0.25">
      <c r="A129" s="97"/>
      <c r="B129" s="97"/>
      <c r="C129" s="97"/>
      <c r="D129" s="97"/>
      <c r="E129" s="97"/>
      <c r="F129" s="97"/>
      <c r="G129" s="97"/>
      <c r="H129" s="97"/>
      <c r="I129" s="97"/>
      <c r="J129" s="97"/>
      <c r="K129" s="97"/>
      <c r="L129" s="45"/>
      <c r="M129"/>
      <c r="N129"/>
      <c r="O129"/>
      <c r="P129"/>
      <c r="Q129"/>
      <c r="R129"/>
      <c r="S129"/>
      <c r="T129"/>
      <c r="U129"/>
      <c r="V129"/>
    </row>
    <row r="130" spans="1:23" s="8" customFormat="1" ht="9.9499999999999993" customHeight="1" x14ac:dyDescent="0.25">
      <c r="A130" s="186" t="s">
        <v>107</v>
      </c>
      <c r="B130" s="186"/>
      <c r="C130" s="186"/>
      <c r="D130" s="187">
        <v>10</v>
      </c>
      <c r="E130" s="102" t="s">
        <v>167</v>
      </c>
      <c r="F130" s="102"/>
      <c r="G130" s="102"/>
      <c r="H130" s="102"/>
      <c r="I130" s="102"/>
      <c r="J130" s="102"/>
      <c r="K130" s="102"/>
      <c r="L130" s="45"/>
      <c r="M130"/>
      <c r="N130"/>
      <c r="O130"/>
      <c r="P130"/>
      <c r="Q130"/>
      <c r="R130"/>
      <c r="S130"/>
      <c r="T130"/>
      <c r="U130"/>
      <c r="V130"/>
    </row>
    <row r="131" spans="1:23" s="8" customFormat="1" ht="9.9499999999999993" customHeight="1" x14ac:dyDescent="0.25">
      <c r="A131" s="186"/>
      <c r="B131" s="186"/>
      <c r="C131" s="186"/>
      <c r="D131" s="187"/>
      <c r="E131" s="102"/>
      <c r="F131" s="102"/>
      <c r="G131" s="102"/>
      <c r="H131" s="102"/>
      <c r="I131" s="102"/>
      <c r="J131" s="102"/>
      <c r="K131" s="102"/>
      <c r="L131" s="45"/>
      <c r="M131"/>
      <c r="N131"/>
      <c r="O131"/>
      <c r="P131"/>
      <c r="Q131"/>
      <c r="R131"/>
      <c r="S131"/>
      <c r="T131"/>
      <c r="U131"/>
      <c r="V131"/>
    </row>
    <row r="132" spans="1:23" s="8" customFormat="1" ht="9.9499999999999993" customHeight="1" x14ac:dyDescent="0.25">
      <c r="A132" s="186"/>
      <c r="B132" s="186"/>
      <c r="C132" s="186"/>
      <c r="D132" s="187"/>
      <c r="E132" s="102"/>
      <c r="F132" s="102"/>
      <c r="G132" s="102"/>
      <c r="H132" s="102"/>
      <c r="I132" s="102"/>
      <c r="J132" s="102"/>
      <c r="K132" s="102"/>
      <c r="L132" s="45"/>
      <c r="M132"/>
      <c r="N132"/>
      <c r="O132"/>
      <c r="P132"/>
      <c r="Q132"/>
      <c r="R132"/>
      <c r="S132"/>
      <c r="T132"/>
      <c r="U132"/>
      <c r="V132"/>
    </row>
    <row r="133" spans="1:23" s="8" customFormat="1" ht="15" customHeight="1" x14ac:dyDescent="0.25">
      <c r="A133" s="199"/>
      <c r="B133" s="192"/>
      <c r="C133" s="192"/>
      <c r="D133" s="192"/>
      <c r="E133" s="192"/>
      <c r="F133" s="192"/>
      <c r="G133" s="192"/>
      <c r="H133" s="192"/>
      <c r="I133" s="192"/>
      <c r="J133" s="192"/>
      <c r="K133" s="200"/>
      <c r="L133" s="45"/>
      <c r="M133"/>
      <c r="N133"/>
      <c r="O133"/>
      <c r="P133"/>
      <c r="Q133"/>
      <c r="R133"/>
      <c r="S133"/>
      <c r="T133"/>
      <c r="U133"/>
      <c r="V133"/>
    </row>
    <row r="134" spans="1:23" s="8" customFormat="1" ht="15" customHeight="1" x14ac:dyDescent="0.25">
      <c r="A134" s="130"/>
      <c r="B134" s="131"/>
      <c r="C134" s="131"/>
      <c r="D134" s="131"/>
      <c r="E134" s="131"/>
      <c r="F134" s="131"/>
      <c r="G134" s="132"/>
      <c r="H134" s="109" t="s">
        <v>103</v>
      </c>
      <c r="I134" s="111"/>
      <c r="J134" s="109" t="s">
        <v>104</v>
      </c>
      <c r="K134" s="111"/>
      <c r="L134" s="45"/>
      <c r="M134"/>
      <c r="N134"/>
      <c r="O134"/>
      <c r="P134"/>
      <c r="Q134"/>
      <c r="R134"/>
      <c r="S134"/>
      <c r="T134"/>
      <c r="U134"/>
      <c r="V134"/>
    </row>
    <row r="135" spans="1:23" s="8" customFormat="1" ht="15" customHeight="1" x14ac:dyDescent="0.25">
      <c r="A135" s="33" t="s">
        <v>83</v>
      </c>
      <c r="B135" s="33" t="s">
        <v>198</v>
      </c>
      <c r="C135" s="34" t="s">
        <v>86</v>
      </c>
      <c r="D135" s="33" t="s">
        <v>87</v>
      </c>
      <c r="E135" s="33" t="s">
        <v>111</v>
      </c>
      <c r="F135" s="33" t="s">
        <v>84</v>
      </c>
      <c r="G135" s="33" t="s">
        <v>85</v>
      </c>
      <c r="H135" s="24" t="s">
        <v>165</v>
      </c>
      <c r="I135" s="24" t="s">
        <v>169</v>
      </c>
      <c r="J135" s="24" t="s">
        <v>165</v>
      </c>
      <c r="K135" s="24" t="s">
        <v>169</v>
      </c>
      <c r="L135" s="45"/>
      <c r="M135"/>
      <c r="N135"/>
      <c r="O135"/>
      <c r="V135" s="8" t="s">
        <v>164</v>
      </c>
    </row>
    <row r="136" spans="1:23" s="8" customFormat="1" ht="15" customHeight="1" x14ac:dyDescent="0.25">
      <c r="A136" s="237" t="s">
        <v>185</v>
      </c>
      <c r="B136" s="20" t="s">
        <v>199</v>
      </c>
      <c r="C136" s="19">
        <v>1</v>
      </c>
      <c r="D136" s="17"/>
      <c r="E136" s="16">
        <v>1</v>
      </c>
      <c r="F136" s="18" t="s">
        <v>132</v>
      </c>
      <c r="G136" s="18"/>
      <c r="H136" s="37">
        <f>IFERROR(VLOOKUP(F136,'Product Spec'!B:D,2,FALSE)," ")</f>
        <v>81</v>
      </c>
      <c r="I136" s="37">
        <f>IFERROR(C136*H136*P136*MIN(1,2.4/E136)," ")</f>
        <v>81</v>
      </c>
      <c r="J136" s="37">
        <f>IFERROR(VLOOKUP(F136,'Product Spec'!B:D,3,FALSE)," ")</f>
        <v>94</v>
      </c>
      <c r="K136" s="37">
        <f>IFERROR(C136*J136*P136*MIN(1,2.4/E136)," ")</f>
        <v>94</v>
      </c>
      <c r="L136" s="45"/>
      <c r="M136"/>
      <c r="N136"/>
      <c r="O136"/>
      <c r="P136" s="8">
        <f>IF(OR(D136=30,D136=45,D136=60),Q136,COS(R136))</f>
        <v>1</v>
      </c>
      <c r="Q136" s="8" t="e" cm="1">
        <f t="array" ref="Q136">_xlfn.IFS(D136=30,0.87,D136=45,0.7,D136=60,0.5)</f>
        <v>#N/A</v>
      </c>
      <c r="R136" s="8">
        <f>(PI()/180)*D136</f>
        <v>0</v>
      </c>
      <c r="S136" s="8">
        <f>H142/H143</f>
        <v>0.81</v>
      </c>
      <c r="V136" s="8">
        <f xml:space="preserve"> C143*15</f>
        <v>0</v>
      </c>
    </row>
    <row r="137" spans="1:23" s="8" customFormat="1" ht="15" customHeight="1" x14ac:dyDescent="0.25">
      <c r="A137" s="237"/>
      <c r="B137" s="20" t="s">
        <v>200</v>
      </c>
      <c r="C137" s="19"/>
      <c r="D137" s="17"/>
      <c r="E137" s="16"/>
      <c r="F137" s="18"/>
      <c r="G137" s="18"/>
      <c r="H137" s="37" t="str">
        <f>IFERROR(VLOOKUP(F137,'Product Spec'!B:D,2,FALSE)," ")</f>
        <v xml:space="preserve"> </v>
      </c>
      <c r="I137" s="37" t="str">
        <f t="shared" ref="I137:I141" si="40">IFERROR(C137*H137*P137*MIN(1,2.4/E137)," ")</f>
        <v xml:space="preserve"> </v>
      </c>
      <c r="J137" s="37" t="str">
        <f>IFERROR(VLOOKUP(F137,'Product Spec'!B:D,3,FALSE)," ")</f>
        <v xml:space="preserve"> </v>
      </c>
      <c r="K137" s="37" t="str">
        <f t="shared" ref="K137:K141" si="41">IFERROR(C137*J137*P137*MIN(1,2.4/E137)," ")</f>
        <v xml:space="preserve"> </v>
      </c>
      <c r="L137" s="45"/>
      <c r="M137"/>
      <c r="N137"/>
      <c r="O137"/>
      <c r="P137" s="8">
        <f t="shared" ref="P137:P141" si="42">IF(OR(D137=30,D137=45,D137=60),Q137,COS(R137))</f>
        <v>1</v>
      </c>
      <c r="Q137" s="8" t="e" cm="1">
        <f t="array" ref="Q137">_xlfn.IFS(D137=30,0.87,D137=45,0.7,D137=60,0.5)</f>
        <v>#N/A</v>
      </c>
      <c r="R137" s="8">
        <f t="shared" ref="R137:R141" si="43">(PI()/180)*D137</f>
        <v>0</v>
      </c>
      <c r="S137" s="8">
        <f>J142/J143</f>
        <v>0.94</v>
      </c>
    </row>
    <row r="138" spans="1:23" s="8" customFormat="1" ht="15" customHeight="1" x14ac:dyDescent="0.25">
      <c r="A138" s="237"/>
      <c r="B138" s="20" t="s">
        <v>201</v>
      </c>
      <c r="C138" s="19"/>
      <c r="D138" s="17"/>
      <c r="E138" s="16"/>
      <c r="F138" s="18"/>
      <c r="G138" s="18"/>
      <c r="H138" s="37" t="str">
        <f>IFERROR(VLOOKUP(F138,'Product Spec'!B:D,2,FALSE)," ")</f>
        <v xml:space="preserve"> </v>
      </c>
      <c r="I138" s="37" t="str">
        <f t="shared" si="40"/>
        <v xml:space="preserve"> </v>
      </c>
      <c r="J138" s="37" t="str">
        <f>IFERROR(VLOOKUP(F138,'Product Spec'!B:D,3,FALSE)," ")</f>
        <v xml:space="preserve"> </v>
      </c>
      <c r="K138" s="37" t="str">
        <f t="shared" si="41"/>
        <v xml:space="preserve"> </v>
      </c>
      <c r="L138" s="45"/>
      <c r="M138"/>
      <c r="N138"/>
      <c r="O138"/>
      <c r="P138" s="8">
        <f t="shared" si="42"/>
        <v>1</v>
      </c>
      <c r="Q138" s="8" t="e" cm="1">
        <f t="array" ref="Q138">_xlfn.IFS(D138=30,0.87,D138=45,0.7,D138=60,0.5)</f>
        <v>#N/A</v>
      </c>
      <c r="R138" s="8">
        <f t="shared" si="43"/>
        <v>0</v>
      </c>
    </row>
    <row r="139" spans="1:23" s="8" customFormat="1" ht="15" customHeight="1" x14ac:dyDescent="0.25">
      <c r="A139" s="237"/>
      <c r="B139" s="20" t="s">
        <v>202</v>
      </c>
      <c r="C139" s="19"/>
      <c r="D139" s="17"/>
      <c r="E139" s="16"/>
      <c r="F139" s="18"/>
      <c r="G139" s="18"/>
      <c r="H139" s="37" t="str">
        <f>IFERROR(VLOOKUP(F139,'Product Spec'!B:D,2,FALSE)," ")</f>
        <v xml:space="preserve"> </v>
      </c>
      <c r="I139" s="37" t="str">
        <f t="shared" si="40"/>
        <v xml:space="preserve"> </v>
      </c>
      <c r="J139" s="37" t="str">
        <f>IFERROR(VLOOKUP(F139,'Product Spec'!B:D,3,FALSE)," ")</f>
        <v xml:space="preserve"> </v>
      </c>
      <c r="K139" s="37" t="str">
        <f t="shared" si="41"/>
        <v xml:space="preserve"> </v>
      </c>
      <c r="L139" s="45"/>
      <c r="M139"/>
      <c r="N139"/>
      <c r="O139"/>
      <c r="P139" s="8">
        <f t="shared" si="42"/>
        <v>1</v>
      </c>
      <c r="Q139" s="8" t="e" cm="1">
        <f t="array" ref="Q139">_xlfn.IFS(D139=30,0.87,D139=45,0.7,D139=60,0.5)</f>
        <v>#N/A</v>
      </c>
      <c r="R139" s="8">
        <f t="shared" si="43"/>
        <v>0</v>
      </c>
    </row>
    <row r="140" spans="1:23" s="8" customFormat="1" ht="15" customHeight="1" x14ac:dyDescent="0.25">
      <c r="A140" s="237"/>
      <c r="B140" s="20" t="s">
        <v>203</v>
      </c>
      <c r="C140" s="19"/>
      <c r="D140" s="17"/>
      <c r="E140" s="16"/>
      <c r="F140" s="18"/>
      <c r="G140" s="18"/>
      <c r="H140" s="37" t="str">
        <f>IFERROR(VLOOKUP(F140,'Product Spec'!B:D,2,FALSE)," ")</f>
        <v xml:space="preserve"> </v>
      </c>
      <c r="I140" s="37" t="str">
        <f t="shared" si="40"/>
        <v xml:space="preserve"> </v>
      </c>
      <c r="J140" s="37" t="str">
        <f>IFERROR(VLOOKUP(F140,'Product Spec'!B:D,3,FALSE)," ")</f>
        <v xml:space="preserve"> </v>
      </c>
      <c r="K140" s="37" t="str">
        <f t="shared" si="41"/>
        <v xml:space="preserve"> </v>
      </c>
      <c r="L140" s="45"/>
      <c r="M140"/>
      <c r="N140"/>
      <c r="O140"/>
      <c r="P140" s="8">
        <f t="shared" si="42"/>
        <v>1</v>
      </c>
      <c r="Q140" s="8" t="e" cm="1">
        <f t="array" ref="Q140">_xlfn.IFS(D140=30,0.87,D140=45,0.7,D140=60,0.5)</f>
        <v>#N/A</v>
      </c>
      <c r="R140" s="8">
        <f t="shared" si="43"/>
        <v>0</v>
      </c>
    </row>
    <row r="141" spans="1:23" s="8" customFormat="1" ht="15" customHeight="1" x14ac:dyDescent="0.25">
      <c r="A141" s="237"/>
      <c r="B141" s="20" t="s">
        <v>204</v>
      </c>
      <c r="C141" s="19"/>
      <c r="D141" s="17"/>
      <c r="E141" s="16"/>
      <c r="F141" s="18"/>
      <c r="G141" s="18"/>
      <c r="H141" s="37" t="str">
        <f>IFERROR(VLOOKUP(F141,'Product Spec'!B:D,2,FALSE)," ")</f>
        <v xml:space="preserve"> </v>
      </c>
      <c r="I141" s="37" t="str">
        <f t="shared" si="40"/>
        <v xml:space="preserve"> </v>
      </c>
      <c r="J141" s="37" t="str">
        <f>IFERROR(VLOOKUP(F141,'Product Spec'!B:D,3,FALSE)," ")</f>
        <v xml:space="preserve"> </v>
      </c>
      <c r="K141" s="37" t="str">
        <f t="shared" si="41"/>
        <v xml:space="preserve"> </v>
      </c>
      <c r="L141" s="45"/>
      <c r="M141"/>
      <c r="N141"/>
      <c r="O141"/>
      <c r="P141" s="8">
        <f t="shared" si="42"/>
        <v>1</v>
      </c>
      <c r="Q141" s="8" t="e" cm="1">
        <f t="array" ref="Q141">_xlfn.IFS(D141=30,0.87,D141=45,0.7,D141=60,0.5)</f>
        <v>#N/A</v>
      </c>
      <c r="R141" s="8">
        <f t="shared" si="43"/>
        <v>0</v>
      </c>
    </row>
    <row r="142" spans="1:23" s="8" customFormat="1" ht="15" customHeight="1" x14ac:dyDescent="0.25">
      <c r="A142" s="237"/>
      <c r="B142" s="98" t="s">
        <v>170</v>
      </c>
      <c r="C142" s="99"/>
      <c r="D142" s="99"/>
      <c r="E142" s="99"/>
      <c r="F142" s="99"/>
      <c r="G142" s="100"/>
      <c r="H142" s="179" cm="1">
        <f t="array" ref="H142">SUM(IFERROR(I136:I141,0))</f>
        <v>81</v>
      </c>
      <c r="I142" s="180"/>
      <c r="J142" s="179" cm="1">
        <f t="array" ref="J142">SUM(IFERROR(K136:K141,0))</f>
        <v>94</v>
      </c>
      <c r="K142" s="180"/>
      <c r="L142" s="45"/>
      <c r="M142"/>
      <c r="N142"/>
      <c r="O142"/>
    </row>
    <row r="143" spans="1:23" s="8" customFormat="1" ht="15" customHeight="1" x14ac:dyDescent="0.25">
      <c r="A143" s="35" t="s">
        <v>168</v>
      </c>
      <c r="B143" s="160"/>
      <c r="C143" s="161"/>
      <c r="D143" s="99" t="s">
        <v>166</v>
      </c>
      <c r="E143" s="99"/>
      <c r="F143" s="99"/>
      <c r="G143" s="100"/>
      <c r="H143" s="109">
        <f>MAX(100,(0.5*$D$125)/$D$130,V136)</f>
        <v>100</v>
      </c>
      <c r="I143" s="111"/>
      <c r="J143" s="109">
        <f>MAX(100,(0.5*$I$125)/$D$130,V136)</f>
        <v>100</v>
      </c>
      <c r="K143" s="111"/>
      <c r="L143" s="45"/>
      <c r="M143"/>
      <c r="N143"/>
      <c r="O143"/>
    </row>
    <row r="144" spans="1:23" s="8" customFormat="1" ht="15" customHeight="1" x14ac:dyDescent="0.25">
      <c r="A144" s="197" t="str">
        <f>IF(OR(S136&lt;1,S137&lt;1),"Warning: Doesn’t meet the minimum BU's requirement per line."," ")</f>
        <v>Warning: Doesn’t meet the minimum BU's requirement per line.</v>
      </c>
      <c r="B144" s="154"/>
      <c r="C144" s="154"/>
      <c r="D144" s="154"/>
      <c r="E144" s="154"/>
      <c r="F144" s="154"/>
      <c r="G144" s="154"/>
      <c r="H144" s="154"/>
      <c r="I144" s="154"/>
      <c r="J144" s="154"/>
      <c r="K144" s="198"/>
      <c r="L144" s="45"/>
      <c r="M144"/>
      <c r="N144"/>
      <c r="O144"/>
      <c r="P144"/>
      <c r="Q144"/>
      <c r="R144"/>
      <c r="S144"/>
      <c r="T144"/>
      <c r="U144"/>
      <c r="V144"/>
      <c r="W144"/>
    </row>
    <row r="145" spans="1:23" s="8" customFormat="1" ht="15" customHeight="1" x14ac:dyDescent="0.25">
      <c r="A145" s="201"/>
      <c r="B145" s="157"/>
      <c r="C145" s="157"/>
      <c r="D145" s="157"/>
      <c r="E145" s="157"/>
      <c r="F145" s="157"/>
      <c r="G145" s="157"/>
      <c r="H145" s="157"/>
      <c r="I145" s="157"/>
      <c r="J145" s="157"/>
      <c r="K145" s="202"/>
      <c r="L145" s="45"/>
      <c r="M145"/>
      <c r="N145"/>
      <c r="O145"/>
      <c r="P145"/>
      <c r="Q145"/>
      <c r="R145"/>
      <c r="S145"/>
      <c r="T145"/>
      <c r="U145"/>
      <c r="V145"/>
    </row>
    <row r="146" spans="1:23" s="8" customFormat="1" ht="15" customHeight="1" x14ac:dyDescent="0.25">
      <c r="A146" s="33" t="s">
        <v>83</v>
      </c>
      <c r="B146" s="33" t="s">
        <v>198</v>
      </c>
      <c r="C146" s="34" t="s">
        <v>86</v>
      </c>
      <c r="D146" s="33" t="s">
        <v>87</v>
      </c>
      <c r="E146" s="33" t="s">
        <v>111</v>
      </c>
      <c r="F146" s="33" t="s">
        <v>84</v>
      </c>
      <c r="G146" s="33" t="s">
        <v>85</v>
      </c>
      <c r="H146" s="24" t="s">
        <v>165</v>
      </c>
      <c r="I146" s="24" t="s">
        <v>169</v>
      </c>
      <c r="J146" s="24" t="s">
        <v>165</v>
      </c>
      <c r="K146" s="24" t="s">
        <v>169</v>
      </c>
      <c r="L146" s="45"/>
      <c r="M146"/>
      <c r="N146"/>
      <c r="O146"/>
      <c r="V146" s="8" t="s">
        <v>164</v>
      </c>
    </row>
    <row r="147" spans="1:23" s="8" customFormat="1" ht="15" customHeight="1" x14ac:dyDescent="0.25">
      <c r="A147" s="237" t="s">
        <v>186</v>
      </c>
      <c r="B147" s="20" t="s">
        <v>199</v>
      </c>
      <c r="C147" s="19">
        <v>1</v>
      </c>
      <c r="D147" s="17"/>
      <c r="E147" s="16">
        <v>1</v>
      </c>
      <c r="F147" s="18" t="s">
        <v>132</v>
      </c>
      <c r="G147" s="18"/>
      <c r="H147" s="37">
        <f>IFERROR(VLOOKUP(F147,'Product Spec'!B:D,2,FALSE)," ")</f>
        <v>81</v>
      </c>
      <c r="I147" s="37">
        <f>IFERROR(C147*H147*P147*MIN(1,2.4/E147)," ")</f>
        <v>81</v>
      </c>
      <c r="J147" s="37">
        <f>IFERROR(VLOOKUP(F147,'Product Spec'!B:D,3,FALSE)," ")</f>
        <v>94</v>
      </c>
      <c r="K147" s="37">
        <f>IFERROR(C147*J147*P147*MIN(1,2.4/E147)," ")</f>
        <v>94</v>
      </c>
      <c r="L147" s="45"/>
      <c r="M147"/>
      <c r="N147"/>
      <c r="O147"/>
      <c r="P147" s="8">
        <f>IF(OR(D147=30,D147=45,D147=60),Q147,COS(R147))</f>
        <v>1</v>
      </c>
      <c r="Q147" s="8" t="e" cm="1">
        <f t="array" ref="Q147">_xlfn.IFS(D147=30,0.87,D147=45,0.7,D147=60,0.5)</f>
        <v>#N/A</v>
      </c>
      <c r="R147" s="8">
        <f>(PI()/180)*D147</f>
        <v>0</v>
      </c>
      <c r="S147" s="8">
        <f>H153/H154</f>
        <v>0.81</v>
      </c>
      <c r="V147" s="8">
        <f xml:space="preserve"> C154*15</f>
        <v>0</v>
      </c>
    </row>
    <row r="148" spans="1:23" s="8" customFormat="1" ht="15" customHeight="1" x14ac:dyDescent="0.25">
      <c r="A148" s="237"/>
      <c r="B148" s="20" t="s">
        <v>200</v>
      </c>
      <c r="C148" s="19"/>
      <c r="D148" s="17"/>
      <c r="E148" s="16"/>
      <c r="F148" s="18"/>
      <c r="G148" s="18"/>
      <c r="H148" s="37" t="str">
        <f>IFERROR(VLOOKUP(F148,'Product Spec'!B:D,2,FALSE)," ")</f>
        <v xml:space="preserve"> </v>
      </c>
      <c r="I148" s="37" t="str">
        <f t="shared" ref="I148:I152" si="44">IFERROR(C148*H148*P148*MIN(1,2.4/E148)," ")</f>
        <v xml:space="preserve"> </v>
      </c>
      <c r="J148" s="37" t="str">
        <f>IFERROR(VLOOKUP(F148,'Product Spec'!B:D,3,FALSE)," ")</f>
        <v xml:space="preserve"> </v>
      </c>
      <c r="K148" s="37" t="str">
        <f t="shared" ref="K148:K152" si="45">IFERROR(C148*J148*P148*MIN(1,2.4/E148)," ")</f>
        <v xml:space="preserve"> </v>
      </c>
      <c r="L148" s="45"/>
      <c r="M148"/>
      <c r="N148"/>
      <c r="O148"/>
      <c r="P148" s="8">
        <f t="shared" ref="P148:P152" si="46">IF(OR(D148=30,D148=45,D148=60),Q148,COS(R148))</f>
        <v>1</v>
      </c>
      <c r="Q148" s="8" t="e" cm="1">
        <f t="array" ref="Q148">_xlfn.IFS(D148=30,0.87,D148=45,0.7,D148=60,0.5)</f>
        <v>#N/A</v>
      </c>
      <c r="R148" s="8">
        <f t="shared" ref="R148:R152" si="47">(PI()/180)*D148</f>
        <v>0</v>
      </c>
      <c r="S148" s="8">
        <f>J153/J154</f>
        <v>0.94</v>
      </c>
    </row>
    <row r="149" spans="1:23" s="8" customFormat="1" ht="15" customHeight="1" x14ac:dyDescent="0.25">
      <c r="A149" s="237"/>
      <c r="B149" s="20" t="s">
        <v>201</v>
      </c>
      <c r="C149" s="19"/>
      <c r="D149" s="17"/>
      <c r="E149" s="16"/>
      <c r="F149" s="18"/>
      <c r="G149" s="18"/>
      <c r="H149" s="37" t="str">
        <f>IFERROR(VLOOKUP(F149,'Product Spec'!B:D,2,FALSE)," ")</f>
        <v xml:space="preserve"> </v>
      </c>
      <c r="I149" s="37" t="str">
        <f t="shared" si="44"/>
        <v xml:space="preserve"> </v>
      </c>
      <c r="J149" s="37" t="str">
        <f>IFERROR(VLOOKUP(F149,'Product Spec'!B:D,3,FALSE)," ")</f>
        <v xml:space="preserve"> </v>
      </c>
      <c r="K149" s="37" t="str">
        <f t="shared" si="45"/>
        <v xml:space="preserve"> </v>
      </c>
      <c r="L149" s="45"/>
      <c r="M149"/>
      <c r="N149"/>
      <c r="O149"/>
      <c r="P149" s="8">
        <f t="shared" si="46"/>
        <v>1</v>
      </c>
      <c r="Q149" s="8" t="e" cm="1">
        <f t="array" ref="Q149">_xlfn.IFS(D149=30,0.87,D149=45,0.7,D149=60,0.5)</f>
        <v>#N/A</v>
      </c>
      <c r="R149" s="8">
        <f t="shared" si="47"/>
        <v>0</v>
      </c>
    </row>
    <row r="150" spans="1:23" s="8" customFormat="1" ht="15" customHeight="1" x14ac:dyDescent="0.25">
      <c r="A150" s="237"/>
      <c r="B150" s="20" t="s">
        <v>202</v>
      </c>
      <c r="C150" s="19"/>
      <c r="D150" s="17"/>
      <c r="E150" s="16"/>
      <c r="F150" s="18"/>
      <c r="G150" s="18"/>
      <c r="H150" s="37" t="str">
        <f>IFERROR(VLOOKUP(F150,'Product Spec'!B:D,2,FALSE)," ")</f>
        <v xml:space="preserve"> </v>
      </c>
      <c r="I150" s="37" t="str">
        <f t="shared" si="44"/>
        <v xml:space="preserve"> </v>
      </c>
      <c r="J150" s="37" t="str">
        <f>IFERROR(VLOOKUP(F150,'Product Spec'!B:D,3,FALSE)," ")</f>
        <v xml:space="preserve"> </v>
      </c>
      <c r="K150" s="37" t="str">
        <f t="shared" si="45"/>
        <v xml:space="preserve"> </v>
      </c>
      <c r="L150" s="45"/>
      <c r="M150"/>
      <c r="N150"/>
      <c r="O150"/>
      <c r="P150" s="8">
        <f t="shared" si="46"/>
        <v>1</v>
      </c>
      <c r="Q150" s="8" t="e" cm="1">
        <f t="array" ref="Q150">_xlfn.IFS(D150=30,0.87,D150=45,0.7,D150=60,0.5)</f>
        <v>#N/A</v>
      </c>
      <c r="R150" s="8">
        <f t="shared" si="47"/>
        <v>0</v>
      </c>
    </row>
    <row r="151" spans="1:23" s="8" customFormat="1" ht="15" customHeight="1" x14ac:dyDescent="0.25">
      <c r="A151" s="237"/>
      <c r="B151" s="20" t="s">
        <v>203</v>
      </c>
      <c r="C151" s="19"/>
      <c r="D151" s="17"/>
      <c r="E151" s="16"/>
      <c r="F151" s="18"/>
      <c r="G151" s="18"/>
      <c r="H151" s="37" t="str">
        <f>IFERROR(VLOOKUP(F151,'Product Spec'!B:D,2,FALSE)," ")</f>
        <v xml:space="preserve"> </v>
      </c>
      <c r="I151" s="37" t="str">
        <f t="shared" si="44"/>
        <v xml:space="preserve"> </v>
      </c>
      <c r="J151" s="37" t="str">
        <f>IFERROR(VLOOKUP(F151,'Product Spec'!B:D,3,FALSE)," ")</f>
        <v xml:space="preserve"> </v>
      </c>
      <c r="K151" s="37" t="str">
        <f t="shared" si="45"/>
        <v xml:space="preserve"> </v>
      </c>
      <c r="L151" s="45"/>
      <c r="M151"/>
      <c r="N151"/>
      <c r="O151"/>
      <c r="P151" s="8">
        <f t="shared" si="46"/>
        <v>1</v>
      </c>
      <c r="Q151" s="8" t="e" cm="1">
        <f t="array" ref="Q151">_xlfn.IFS(D151=30,0.87,D151=45,0.7,D151=60,0.5)</f>
        <v>#N/A</v>
      </c>
      <c r="R151" s="8">
        <f t="shared" si="47"/>
        <v>0</v>
      </c>
    </row>
    <row r="152" spans="1:23" s="8" customFormat="1" ht="15" customHeight="1" x14ac:dyDescent="0.25">
      <c r="A152" s="237"/>
      <c r="B152" s="20" t="s">
        <v>204</v>
      </c>
      <c r="C152" s="19"/>
      <c r="D152" s="17"/>
      <c r="E152" s="16"/>
      <c r="F152" s="18"/>
      <c r="G152" s="18"/>
      <c r="H152" s="37" t="str">
        <f>IFERROR(VLOOKUP(F152,'Product Spec'!B:D,2,FALSE)," ")</f>
        <v xml:space="preserve"> </v>
      </c>
      <c r="I152" s="37" t="str">
        <f t="shared" si="44"/>
        <v xml:space="preserve"> </v>
      </c>
      <c r="J152" s="37" t="str">
        <f>IFERROR(VLOOKUP(F152,'Product Spec'!B:D,3,FALSE)," ")</f>
        <v xml:space="preserve"> </v>
      </c>
      <c r="K152" s="37" t="str">
        <f t="shared" si="45"/>
        <v xml:space="preserve"> </v>
      </c>
      <c r="L152" s="45"/>
      <c r="M152"/>
      <c r="N152"/>
      <c r="O152"/>
      <c r="P152" s="8">
        <f t="shared" si="46"/>
        <v>1</v>
      </c>
      <c r="Q152" s="8" t="e" cm="1">
        <f t="array" ref="Q152">_xlfn.IFS(D152=30,0.87,D152=45,0.7,D152=60,0.5)</f>
        <v>#N/A</v>
      </c>
      <c r="R152" s="8">
        <f t="shared" si="47"/>
        <v>0</v>
      </c>
    </row>
    <row r="153" spans="1:23" s="8" customFormat="1" ht="15" customHeight="1" x14ac:dyDescent="0.25">
      <c r="A153" s="237"/>
      <c r="B153" s="98" t="s">
        <v>170</v>
      </c>
      <c r="C153" s="99"/>
      <c r="D153" s="99"/>
      <c r="E153" s="99"/>
      <c r="F153" s="99"/>
      <c r="G153" s="100"/>
      <c r="H153" s="179" cm="1">
        <f t="array" ref="H153">IF(D130&lt;2,0,SUM(IFERROR(I147:I152,0)))</f>
        <v>81</v>
      </c>
      <c r="I153" s="180"/>
      <c r="J153" s="179" cm="1">
        <f t="array" ref="J153">IF(D130&lt;2,0,SUM(IFERROR(K147:K152,0)))</f>
        <v>94</v>
      </c>
      <c r="K153" s="180"/>
      <c r="L153" s="45"/>
      <c r="M153"/>
      <c r="N153"/>
      <c r="O153"/>
    </row>
    <row r="154" spans="1:23" s="8" customFormat="1" ht="15" customHeight="1" x14ac:dyDescent="0.25">
      <c r="A154" s="35" t="s">
        <v>168</v>
      </c>
      <c r="B154" s="160"/>
      <c r="C154" s="161"/>
      <c r="D154" s="99" t="s">
        <v>166</v>
      </c>
      <c r="E154" s="99"/>
      <c r="F154" s="99"/>
      <c r="G154" s="100"/>
      <c r="H154" s="150">
        <f>MAX(100,(0.5*$D$125)/$D$130,V147)</f>
        <v>100</v>
      </c>
      <c r="I154" s="151"/>
      <c r="J154" s="150">
        <f>MAX(100,(0.5*$I$125)/$D$130,V147)</f>
        <v>100</v>
      </c>
      <c r="K154" s="151"/>
      <c r="L154" s="45"/>
      <c r="M154"/>
      <c r="N154"/>
      <c r="O154"/>
    </row>
    <row r="155" spans="1:23" s="8" customFormat="1" ht="15" customHeight="1" x14ac:dyDescent="0.25">
      <c r="A155" s="197" t="str">
        <f>IF(OR(S147&lt;1,S148&lt;1),"Warning: Doesn’t meet the minimum BU's requirement per line."," ")</f>
        <v>Warning: Doesn’t meet the minimum BU's requirement per line.</v>
      </c>
      <c r="B155" s="154"/>
      <c r="C155" s="154"/>
      <c r="D155" s="154"/>
      <c r="E155" s="154"/>
      <c r="F155" s="154"/>
      <c r="G155" s="154"/>
      <c r="H155" s="154"/>
      <c r="I155" s="154"/>
      <c r="J155" s="154"/>
      <c r="K155" s="198"/>
      <c r="L155" s="45"/>
      <c r="M155"/>
      <c r="N155"/>
      <c r="O155"/>
      <c r="P155"/>
      <c r="Q155"/>
      <c r="R155"/>
      <c r="S155"/>
      <c r="T155"/>
      <c r="U155"/>
      <c r="V155"/>
      <c r="W155"/>
    </row>
    <row r="156" spans="1:23" s="8" customFormat="1" ht="15" customHeight="1" x14ac:dyDescent="0.25">
      <c r="A156" s="201"/>
      <c r="B156" s="157"/>
      <c r="C156" s="157"/>
      <c r="D156" s="157"/>
      <c r="E156" s="157"/>
      <c r="F156" s="157"/>
      <c r="G156" s="157"/>
      <c r="H156" s="157"/>
      <c r="I156" s="157"/>
      <c r="J156" s="157"/>
      <c r="K156" s="202"/>
      <c r="L156" s="45"/>
      <c r="M156"/>
      <c r="N156"/>
      <c r="O156"/>
      <c r="P156"/>
      <c r="Q156"/>
      <c r="R156"/>
      <c r="S156"/>
      <c r="T156"/>
      <c r="U156"/>
      <c r="V156"/>
    </row>
    <row r="157" spans="1:23" s="8" customFormat="1" ht="15" customHeight="1" x14ac:dyDescent="0.25">
      <c r="A157" s="33" t="s">
        <v>83</v>
      </c>
      <c r="B157" s="33" t="s">
        <v>198</v>
      </c>
      <c r="C157" s="34" t="s">
        <v>86</v>
      </c>
      <c r="D157" s="33" t="s">
        <v>87</v>
      </c>
      <c r="E157" s="33" t="s">
        <v>111</v>
      </c>
      <c r="F157" s="33" t="s">
        <v>84</v>
      </c>
      <c r="G157" s="33" t="s">
        <v>85</v>
      </c>
      <c r="H157" s="24" t="s">
        <v>165</v>
      </c>
      <c r="I157" s="24" t="s">
        <v>169</v>
      </c>
      <c r="J157" s="24" t="s">
        <v>165</v>
      </c>
      <c r="K157" s="24" t="s">
        <v>169</v>
      </c>
      <c r="L157" s="45"/>
      <c r="M157"/>
      <c r="N157"/>
      <c r="O157"/>
      <c r="V157" s="8" t="s">
        <v>164</v>
      </c>
    </row>
    <row r="158" spans="1:23" s="8" customFormat="1" ht="15" customHeight="1" x14ac:dyDescent="0.25">
      <c r="A158" s="237" t="s">
        <v>187</v>
      </c>
      <c r="B158" s="20" t="s">
        <v>199</v>
      </c>
      <c r="C158" s="19"/>
      <c r="D158" s="17"/>
      <c r="E158" s="16"/>
      <c r="F158" s="18"/>
      <c r="G158" s="18"/>
      <c r="H158" s="37" t="str">
        <f>IFERROR(VLOOKUP(F158,'Product Spec'!B:D,2,FALSE)," ")</f>
        <v xml:space="preserve"> </v>
      </c>
      <c r="I158" s="37" t="str">
        <f>IFERROR(C158*H158*P158*MIN(1,2.4/E158)," ")</f>
        <v xml:space="preserve"> </v>
      </c>
      <c r="J158" s="37" t="str">
        <f>IFERROR(VLOOKUP(F158,'Product Spec'!B:D,3,FALSE)," ")</f>
        <v xml:space="preserve"> </v>
      </c>
      <c r="K158" s="37" t="str">
        <f>IFERROR(C158*J158*P158*MIN(1,2.4/E158)," ")</f>
        <v xml:space="preserve"> </v>
      </c>
      <c r="L158" s="45"/>
      <c r="M158"/>
      <c r="N158"/>
      <c r="O158"/>
      <c r="P158" s="8">
        <f>IF(OR(D158=30,D158=45,D158=60),Q158,COS(R158))</f>
        <v>1</v>
      </c>
      <c r="Q158" s="8" t="e" cm="1">
        <f t="array" ref="Q158">_xlfn.IFS(D158=30,0.87,D158=45,0.7,D158=60,0.5)</f>
        <v>#N/A</v>
      </c>
      <c r="R158" s="8">
        <f>(PI()/180)*D158</f>
        <v>0</v>
      </c>
      <c r="S158" s="8">
        <f>H164/H165</f>
        <v>0</v>
      </c>
      <c r="V158" s="8">
        <f xml:space="preserve"> C165*15</f>
        <v>0</v>
      </c>
    </row>
    <row r="159" spans="1:23" s="8" customFormat="1" ht="15" customHeight="1" x14ac:dyDescent="0.25">
      <c r="A159" s="237"/>
      <c r="B159" s="20" t="s">
        <v>200</v>
      </c>
      <c r="C159" s="19"/>
      <c r="D159" s="17"/>
      <c r="E159" s="16"/>
      <c r="F159" s="18"/>
      <c r="G159" s="18"/>
      <c r="H159" s="37" t="str">
        <f>IFERROR(VLOOKUP(F159,'Product Spec'!B:D,2,FALSE)," ")</f>
        <v xml:space="preserve"> </v>
      </c>
      <c r="I159" s="37" t="str">
        <f t="shared" ref="I159:I163" si="48">IFERROR(C159*H159*P159*MIN(1,2.4/E159)," ")</f>
        <v xml:space="preserve"> </v>
      </c>
      <c r="J159" s="37" t="str">
        <f>IFERROR(VLOOKUP(F159,'Product Spec'!B:D,3,FALSE)," ")</f>
        <v xml:space="preserve"> </v>
      </c>
      <c r="K159" s="37" t="str">
        <f t="shared" ref="K159:K163" si="49">IFERROR(C159*J159*P159*MIN(1,2.4/E159)," ")</f>
        <v xml:space="preserve"> </v>
      </c>
      <c r="L159" s="45"/>
      <c r="M159"/>
      <c r="N159"/>
      <c r="O159"/>
      <c r="P159" s="8">
        <f t="shared" ref="P159:P163" si="50">IF(OR(D159=30,D159=45,D159=60),Q159,COS(R159))</f>
        <v>1</v>
      </c>
      <c r="Q159" s="8" t="e" cm="1">
        <f t="array" ref="Q159">_xlfn.IFS(D159=30,0.87,D159=45,0.7,D159=60,0.5)</f>
        <v>#N/A</v>
      </c>
      <c r="R159" s="8">
        <f t="shared" ref="R159:R163" si="51">(PI()/180)*D159</f>
        <v>0</v>
      </c>
      <c r="S159" s="8">
        <f>J164/J165</f>
        <v>0</v>
      </c>
    </row>
    <row r="160" spans="1:23" s="8" customFormat="1" ht="15" customHeight="1" x14ac:dyDescent="0.25">
      <c r="A160" s="237"/>
      <c r="B160" s="20" t="s">
        <v>201</v>
      </c>
      <c r="C160" s="19"/>
      <c r="D160" s="17"/>
      <c r="E160" s="16"/>
      <c r="F160" s="18"/>
      <c r="G160" s="18"/>
      <c r="H160" s="37" t="str">
        <f>IFERROR(VLOOKUP(F160,'Product Spec'!B:D,2,FALSE)," ")</f>
        <v xml:space="preserve"> </v>
      </c>
      <c r="I160" s="37" t="str">
        <f t="shared" si="48"/>
        <v xml:space="preserve"> </v>
      </c>
      <c r="J160" s="37" t="str">
        <f>IFERROR(VLOOKUP(F160,'Product Spec'!B:D,3,FALSE)," ")</f>
        <v xml:space="preserve"> </v>
      </c>
      <c r="K160" s="37" t="str">
        <f t="shared" si="49"/>
        <v xml:space="preserve"> </v>
      </c>
      <c r="L160" s="45"/>
      <c r="M160"/>
      <c r="N160"/>
      <c r="O160"/>
      <c r="P160" s="8">
        <f t="shared" si="50"/>
        <v>1</v>
      </c>
      <c r="Q160" s="8" t="e" cm="1">
        <f t="array" ref="Q160">_xlfn.IFS(D160=30,0.87,D160=45,0.7,D160=60,0.5)</f>
        <v>#N/A</v>
      </c>
      <c r="R160" s="8">
        <f t="shared" si="51"/>
        <v>0</v>
      </c>
    </row>
    <row r="161" spans="1:23" s="8" customFormat="1" ht="15" customHeight="1" x14ac:dyDescent="0.25">
      <c r="A161" s="237"/>
      <c r="B161" s="20" t="s">
        <v>202</v>
      </c>
      <c r="C161" s="19"/>
      <c r="D161" s="17"/>
      <c r="E161" s="16"/>
      <c r="F161" s="18"/>
      <c r="G161" s="18"/>
      <c r="H161" s="37" t="str">
        <f>IFERROR(VLOOKUP(F161,'Product Spec'!B:D,2,FALSE)," ")</f>
        <v xml:space="preserve"> </v>
      </c>
      <c r="I161" s="37" t="str">
        <f t="shared" si="48"/>
        <v xml:space="preserve"> </v>
      </c>
      <c r="J161" s="37" t="str">
        <f>IFERROR(VLOOKUP(F161,'Product Spec'!B:D,3,FALSE)," ")</f>
        <v xml:space="preserve"> </v>
      </c>
      <c r="K161" s="37" t="str">
        <f t="shared" si="49"/>
        <v xml:space="preserve"> </v>
      </c>
      <c r="L161" s="45"/>
      <c r="M161"/>
      <c r="N161"/>
      <c r="O161"/>
      <c r="P161" s="8">
        <f t="shared" si="50"/>
        <v>1</v>
      </c>
      <c r="Q161" s="8" t="e" cm="1">
        <f t="array" ref="Q161">_xlfn.IFS(D161=30,0.87,D161=45,0.7,D161=60,0.5)</f>
        <v>#N/A</v>
      </c>
      <c r="R161" s="8">
        <f t="shared" si="51"/>
        <v>0</v>
      </c>
    </row>
    <row r="162" spans="1:23" s="8" customFormat="1" ht="15" customHeight="1" x14ac:dyDescent="0.25">
      <c r="A162" s="237"/>
      <c r="B162" s="20" t="s">
        <v>203</v>
      </c>
      <c r="C162" s="19"/>
      <c r="D162" s="17"/>
      <c r="E162" s="16"/>
      <c r="F162" s="18"/>
      <c r="G162" s="18"/>
      <c r="H162" s="37" t="str">
        <f>IFERROR(VLOOKUP(F162,'Product Spec'!B:D,2,FALSE)," ")</f>
        <v xml:space="preserve"> </v>
      </c>
      <c r="I162" s="37" t="str">
        <f t="shared" si="48"/>
        <v xml:space="preserve"> </v>
      </c>
      <c r="J162" s="37" t="str">
        <f>IFERROR(VLOOKUP(F162,'Product Spec'!B:D,3,FALSE)," ")</f>
        <v xml:space="preserve"> </v>
      </c>
      <c r="K162" s="37" t="str">
        <f t="shared" si="49"/>
        <v xml:space="preserve"> </v>
      </c>
      <c r="L162" s="45"/>
      <c r="M162"/>
      <c r="N162"/>
      <c r="O162"/>
      <c r="P162" s="8">
        <f t="shared" si="50"/>
        <v>1</v>
      </c>
      <c r="Q162" s="8" t="e" cm="1">
        <f t="array" ref="Q162">_xlfn.IFS(D162=30,0.87,D162=45,0.7,D162=60,0.5)</f>
        <v>#N/A</v>
      </c>
      <c r="R162" s="8">
        <f t="shared" si="51"/>
        <v>0</v>
      </c>
    </row>
    <row r="163" spans="1:23" s="8" customFormat="1" ht="15" customHeight="1" x14ac:dyDescent="0.25">
      <c r="A163" s="237"/>
      <c r="B163" s="20" t="s">
        <v>204</v>
      </c>
      <c r="C163" s="19"/>
      <c r="D163" s="17"/>
      <c r="E163" s="16"/>
      <c r="F163" s="18"/>
      <c r="G163" s="18"/>
      <c r="H163" s="37" t="str">
        <f>IFERROR(VLOOKUP(F163,'Product Spec'!B:D,2,FALSE)," ")</f>
        <v xml:space="preserve"> </v>
      </c>
      <c r="I163" s="37" t="str">
        <f t="shared" si="48"/>
        <v xml:space="preserve"> </v>
      </c>
      <c r="J163" s="37" t="str">
        <f>IFERROR(VLOOKUP(F163,'Product Spec'!B:D,3,FALSE)," ")</f>
        <v xml:space="preserve"> </v>
      </c>
      <c r="K163" s="37" t="str">
        <f t="shared" si="49"/>
        <v xml:space="preserve"> </v>
      </c>
      <c r="L163" s="45"/>
      <c r="M163"/>
      <c r="N163"/>
      <c r="O163"/>
      <c r="P163" s="8">
        <f t="shared" si="50"/>
        <v>1</v>
      </c>
      <c r="Q163" s="8" t="e" cm="1">
        <f t="array" ref="Q163">_xlfn.IFS(D163=30,0.87,D163=45,0.7,D163=60,0.5)</f>
        <v>#N/A</v>
      </c>
      <c r="R163" s="8">
        <f t="shared" si="51"/>
        <v>0</v>
      </c>
    </row>
    <row r="164" spans="1:23" s="8" customFormat="1" ht="15" customHeight="1" x14ac:dyDescent="0.25">
      <c r="A164" s="237"/>
      <c r="B164" s="98" t="s">
        <v>170</v>
      </c>
      <c r="C164" s="99"/>
      <c r="D164" s="99"/>
      <c r="E164" s="99"/>
      <c r="F164" s="99"/>
      <c r="G164" s="100"/>
      <c r="H164" s="179" cm="1">
        <f t="array" ref="H164">IF(D130&lt;3,0,SUM(IFERROR(I158:I163,0)))</f>
        <v>0</v>
      </c>
      <c r="I164" s="180"/>
      <c r="J164" s="179" cm="1">
        <f t="array" ref="J164">IF(D130&lt;3,0,SUM(IFERROR(K158:K163,0)))</f>
        <v>0</v>
      </c>
      <c r="K164" s="180"/>
      <c r="L164" s="45"/>
      <c r="M164"/>
      <c r="N164"/>
      <c r="O164"/>
    </row>
    <row r="165" spans="1:23" s="8" customFormat="1" ht="15" customHeight="1" x14ac:dyDescent="0.25">
      <c r="A165" s="35" t="s">
        <v>168</v>
      </c>
      <c r="B165" s="160"/>
      <c r="C165" s="161"/>
      <c r="D165" s="99" t="s">
        <v>166</v>
      </c>
      <c r="E165" s="99"/>
      <c r="F165" s="99"/>
      <c r="G165" s="100"/>
      <c r="H165" s="150">
        <f>MAX(100,(0.5*$D$125)/$D$130,V158)</f>
        <v>100</v>
      </c>
      <c r="I165" s="151"/>
      <c r="J165" s="150">
        <f>MAX(100,(0.5*$I$125)/$D$130,V158)</f>
        <v>100</v>
      </c>
      <c r="K165" s="151"/>
      <c r="L165" s="45"/>
      <c r="M165"/>
      <c r="N165"/>
      <c r="O165"/>
    </row>
    <row r="166" spans="1:23" s="8" customFormat="1" ht="15" customHeight="1" x14ac:dyDescent="0.25">
      <c r="A166" s="197" t="str">
        <f>IF(OR(S158&lt;1,S159&lt;1),"Warning: Doesn’t meet the minimum BU's requirement per line."," ")</f>
        <v>Warning: Doesn’t meet the minimum BU's requirement per line.</v>
      </c>
      <c r="B166" s="154"/>
      <c r="C166" s="154"/>
      <c r="D166" s="154"/>
      <c r="E166" s="154"/>
      <c r="F166" s="154"/>
      <c r="G166" s="154"/>
      <c r="H166" s="154"/>
      <c r="I166" s="154"/>
      <c r="J166" s="154"/>
      <c r="K166" s="198"/>
      <c r="L166" s="45"/>
      <c r="M166"/>
      <c r="N166"/>
      <c r="O166"/>
      <c r="P166"/>
      <c r="Q166"/>
      <c r="R166"/>
      <c r="S166"/>
      <c r="T166"/>
      <c r="U166"/>
      <c r="V166"/>
      <c r="W166"/>
    </row>
    <row r="167" spans="1:23" s="8" customFormat="1" ht="15" customHeight="1" x14ac:dyDescent="0.25">
      <c r="A167" s="203"/>
      <c r="B167" s="171"/>
      <c r="C167" s="171"/>
      <c r="D167" s="171"/>
      <c r="E167" s="171"/>
      <c r="F167" s="171"/>
      <c r="G167" s="171"/>
      <c r="H167" s="171"/>
      <c r="I167" s="171"/>
      <c r="J167" s="171"/>
      <c r="K167" s="204"/>
      <c r="L167" s="45"/>
      <c r="M167"/>
      <c r="N167"/>
      <c r="O167"/>
      <c r="P167"/>
      <c r="Q167"/>
      <c r="R167"/>
      <c r="S167"/>
      <c r="T167"/>
      <c r="U167"/>
      <c r="V167"/>
      <c r="W167"/>
    </row>
    <row r="168" spans="1:23" s="8" customFormat="1" ht="15" customHeight="1" x14ac:dyDescent="0.25">
      <c r="A168" s="33" t="s">
        <v>83</v>
      </c>
      <c r="B168" s="33" t="s">
        <v>198</v>
      </c>
      <c r="C168" s="34" t="s">
        <v>86</v>
      </c>
      <c r="D168" s="33" t="s">
        <v>87</v>
      </c>
      <c r="E168" s="33" t="s">
        <v>111</v>
      </c>
      <c r="F168" s="33" t="s">
        <v>84</v>
      </c>
      <c r="G168" s="33" t="s">
        <v>85</v>
      </c>
      <c r="H168" s="24" t="s">
        <v>165</v>
      </c>
      <c r="I168" s="24" t="s">
        <v>169</v>
      </c>
      <c r="J168" s="24" t="s">
        <v>165</v>
      </c>
      <c r="K168" s="24" t="s">
        <v>169</v>
      </c>
      <c r="L168" s="45"/>
      <c r="M168"/>
      <c r="N168"/>
      <c r="O168"/>
      <c r="V168" s="8" t="s">
        <v>164</v>
      </c>
    </row>
    <row r="169" spans="1:23" s="8" customFormat="1" ht="15" customHeight="1" x14ac:dyDescent="0.25">
      <c r="A169" s="237" t="s">
        <v>188</v>
      </c>
      <c r="B169" s="20" t="s">
        <v>199</v>
      </c>
      <c r="C169" s="19"/>
      <c r="D169" s="17"/>
      <c r="E169" s="16"/>
      <c r="F169" s="18"/>
      <c r="G169" s="18"/>
      <c r="H169" s="37" t="str">
        <f>IFERROR(VLOOKUP(F169,'Product Spec'!B:D,2,FALSE)," ")</f>
        <v xml:space="preserve"> </v>
      </c>
      <c r="I169" s="37" t="str">
        <f>IFERROR(C169*H169*P169*MIN(1,2.4/E169)," ")</f>
        <v xml:space="preserve"> </v>
      </c>
      <c r="J169" s="37" t="str">
        <f>IFERROR(VLOOKUP(F169,'Product Spec'!B:D,3,FALSE)," ")</f>
        <v xml:space="preserve"> </v>
      </c>
      <c r="K169" s="37" t="str">
        <f>IFERROR(C169*J169*P169*MIN(1,2.4/E169)," ")</f>
        <v xml:space="preserve"> </v>
      </c>
      <c r="L169" s="45"/>
      <c r="M169"/>
      <c r="N169"/>
      <c r="O169"/>
      <c r="P169" s="8">
        <f>IF(OR(D169=30,D169=45,D169=60),Q169,COS(R169))</f>
        <v>1</v>
      </c>
      <c r="Q169" s="8" t="e" cm="1">
        <f t="array" ref="Q169">_xlfn.IFS(D169=30,0.87,D169=45,0.7,D169=60,0.5)</f>
        <v>#N/A</v>
      </c>
      <c r="R169" s="8">
        <f>(PI()/180)*D169</f>
        <v>0</v>
      </c>
      <c r="S169" s="8">
        <f>H175/H176</f>
        <v>0</v>
      </c>
      <c r="V169" s="8">
        <f xml:space="preserve"> C176*15</f>
        <v>0</v>
      </c>
    </row>
    <row r="170" spans="1:23" s="8" customFormat="1" ht="15" customHeight="1" x14ac:dyDescent="0.25">
      <c r="A170" s="237"/>
      <c r="B170" s="20" t="s">
        <v>200</v>
      </c>
      <c r="C170" s="19"/>
      <c r="D170" s="17"/>
      <c r="E170" s="16"/>
      <c r="F170" s="18"/>
      <c r="G170" s="18"/>
      <c r="H170" s="37" t="str">
        <f>IFERROR(VLOOKUP(F170,'Product Spec'!B:D,2,FALSE)," ")</f>
        <v xml:space="preserve"> </v>
      </c>
      <c r="I170" s="37" t="str">
        <f t="shared" ref="I170:I174" si="52">IFERROR(C170*H170*P170*MIN(1,2.4/E170)," ")</f>
        <v xml:space="preserve"> </v>
      </c>
      <c r="J170" s="37" t="str">
        <f>IFERROR(VLOOKUP(F170,'Product Spec'!B:D,3,FALSE)," ")</f>
        <v xml:space="preserve"> </v>
      </c>
      <c r="K170" s="37" t="str">
        <f t="shared" ref="K170:K174" si="53">IFERROR(C170*J170*P170*MIN(1,2.4/E170)," ")</f>
        <v xml:space="preserve"> </v>
      </c>
      <c r="L170" s="45"/>
      <c r="M170"/>
      <c r="N170"/>
      <c r="O170"/>
      <c r="P170" s="8">
        <f t="shared" ref="P170:P174" si="54">IF(OR(D170=30,D170=45,D170=60),Q170,COS(R170))</f>
        <v>1</v>
      </c>
      <c r="Q170" s="8" t="e" cm="1">
        <f t="array" ref="Q170">_xlfn.IFS(D170=30,0.87,D170=45,0.7,D170=60,0.5)</f>
        <v>#N/A</v>
      </c>
      <c r="R170" s="8">
        <f t="shared" ref="R170:R174" si="55">(PI()/180)*D170</f>
        <v>0</v>
      </c>
      <c r="S170" s="8">
        <f>J175/J176</f>
        <v>0</v>
      </c>
    </row>
    <row r="171" spans="1:23" s="8" customFormat="1" ht="15" customHeight="1" x14ac:dyDescent="0.25">
      <c r="A171" s="237"/>
      <c r="B171" s="20" t="s">
        <v>201</v>
      </c>
      <c r="C171" s="19"/>
      <c r="D171" s="17"/>
      <c r="E171" s="16"/>
      <c r="F171" s="18"/>
      <c r="G171" s="18"/>
      <c r="H171" s="37" t="str">
        <f>IFERROR(VLOOKUP(F171,'Product Spec'!B:D,2,FALSE)," ")</f>
        <v xml:space="preserve"> </v>
      </c>
      <c r="I171" s="37" t="str">
        <f t="shared" si="52"/>
        <v xml:space="preserve"> </v>
      </c>
      <c r="J171" s="37" t="str">
        <f>IFERROR(VLOOKUP(F171,'Product Spec'!B:D,3,FALSE)," ")</f>
        <v xml:space="preserve"> </v>
      </c>
      <c r="K171" s="37" t="str">
        <f t="shared" si="53"/>
        <v xml:space="preserve"> </v>
      </c>
      <c r="L171" s="45"/>
      <c r="M171"/>
      <c r="N171"/>
      <c r="O171"/>
      <c r="P171" s="8">
        <f t="shared" si="54"/>
        <v>1</v>
      </c>
      <c r="Q171" s="8" t="e" cm="1">
        <f t="array" ref="Q171">_xlfn.IFS(D171=30,0.87,D171=45,0.7,D171=60,0.5)</f>
        <v>#N/A</v>
      </c>
      <c r="R171" s="8">
        <f t="shared" si="55"/>
        <v>0</v>
      </c>
    </row>
    <row r="172" spans="1:23" s="8" customFormat="1" ht="15" customHeight="1" x14ac:dyDescent="0.25">
      <c r="A172" s="237"/>
      <c r="B172" s="20" t="s">
        <v>202</v>
      </c>
      <c r="C172" s="19"/>
      <c r="D172" s="17"/>
      <c r="E172" s="16"/>
      <c r="F172" s="18"/>
      <c r="G172" s="18"/>
      <c r="H172" s="37" t="str">
        <f>IFERROR(VLOOKUP(F172,'Product Spec'!B:D,2,FALSE)," ")</f>
        <v xml:space="preserve"> </v>
      </c>
      <c r="I172" s="37" t="str">
        <f t="shared" si="52"/>
        <v xml:space="preserve"> </v>
      </c>
      <c r="J172" s="37" t="str">
        <f>IFERROR(VLOOKUP(F172,'Product Spec'!B:D,3,FALSE)," ")</f>
        <v xml:space="preserve"> </v>
      </c>
      <c r="K172" s="37" t="str">
        <f t="shared" si="53"/>
        <v xml:space="preserve"> </v>
      </c>
      <c r="L172" s="45"/>
      <c r="M172"/>
      <c r="N172"/>
      <c r="O172"/>
      <c r="P172" s="8">
        <f t="shared" si="54"/>
        <v>1</v>
      </c>
      <c r="Q172" s="8" t="e" cm="1">
        <f t="array" ref="Q172">_xlfn.IFS(D172=30,0.87,D172=45,0.7,D172=60,0.5)</f>
        <v>#N/A</v>
      </c>
      <c r="R172" s="8">
        <f t="shared" si="55"/>
        <v>0</v>
      </c>
    </row>
    <row r="173" spans="1:23" s="8" customFormat="1" ht="15" customHeight="1" x14ac:dyDescent="0.25">
      <c r="A173" s="237"/>
      <c r="B173" s="20" t="s">
        <v>203</v>
      </c>
      <c r="C173" s="19"/>
      <c r="D173" s="17"/>
      <c r="E173" s="16"/>
      <c r="F173" s="18"/>
      <c r="G173" s="18"/>
      <c r="H173" s="37" t="str">
        <f>IFERROR(VLOOKUP(F173,'Product Spec'!B:D,2,FALSE)," ")</f>
        <v xml:space="preserve"> </v>
      </c>
      <c r="I173" s="37" t="str">
        <f t="shared" si="52"/>
        <v xml:space="preserve"> </v>
      </c>
      <c r="J173" s="37" t="str">
        <f>IFERROR(VLOOKUP(F173,'Product Spec'!B:D,3,FALSE)," ")</f>
        <v xml:space="preserve"> </v>
      </c>
      <c r="K173" s="37" t="str">
        <f t="shared" si="53"/>
        <v xml:space="preserve"> </v>
      </c>
      <c r="L173" s="45"/>
      <c r="M173"/>
      <c r="N173"/>
      <c r="O173"/>
      <c r="P173" s="8">
        <f t="shared" si="54"/>
        <v>1</v>
      </c>
      <c r="Q173" s="8" t="e" cm="1">
        <f t="array" ref="Q173">_xlfn.IFS(D173=30,0.87,D173=45,0.7,D173=60,0.5)</f>
        <v>#N/A</v>
      </c>
      <c r="R173" s="8">
        <f t="shared" si="55"/>
        <v>0</v>
      </c>
    </row>
    <row r="174" spans="1:23" s="8" customFormat="1" ht="15" customHeight="1" x14ac:dyDescent="0.25">
      <c r="A174" s="237"/>
      <c r="B174" s="20" t="s">
        <v>204</v>
      </c>
      <c r="C174" s="19"/>
      <c r="D174" s="17"/>
      <c r="E174" s="16"/>
      <c r="F174" s="18"/>
      <c r="G174" s="18"/>
      <c r="H174" s="37" t="str">
        <f>IFERROR(VLOOKUP(F174,'Product Spec'!B:D,2,FALSE)," ")</f>
        <v xml:space="preserve"> </v>
      </c>
      <c r="I174" s="37" t="str">
        <f t="shared" si="52"/>
        <v xml:space="preserve"> </v>
      </c>
      <c r="J174" s="37" t="str">
        <f>IFERROR(VLOOKUP(F174,'Product Spec'!B:D,3,FALSE)," ")</f>
        <v xml:space="preserve"> </v>
      </c>
      <c r="K174" s="37" t="str">
        <f t="shared" si="53"/>
        <v xml:space="preserve"> </v>
      </c>
      <c r="L174" s="45"/>
      <c r="M174"/>
      <c r="N174"/>
      <c r="O174"/>
      <c r="P174" s="8">
        <f t="shared" si="54"/>
        <v>1</v>
      </c>
      <c r="Q174" s="8" t="e" cm="1">
        <f t="array" ref="Q174">_xlfn.IFS(D174=30,0.87,D174=45,0.7,D174=60,0.5)</f>
        <v>#N/A</v>
      </c>
      <c r="R174" s="8">
        <f t="shared" si="55"/>
        <v>0</v>
      </c>
    </row>
    <row r="175" spans="1:23" s="8" customFormat="1" ht="15" customHeight="1" x14ac:dyDescent="0.25">
      <c r="A175" s="237"/>
      <c r="B175" s="98" t="s">
        <v>170</v>
      </c>
      <c r="C175" s="99"/>
      <c r="D175" s="99"/>
      <c r="E175" s="99"/>
      <c r="F175" s="99"/>
      <c r="G175" s="100"/>
      <c r="H175" s="179" cm="1">
        <f t="array" ref="H175">IF(D130&lt;4,0,SUM(IFERROR(I169:I174,0)))</f>
        <v>0</v>
      </c>
      <c r="I175" s="180"/>
      <c r="J175" s="179" cm="1">
        <f t="array" ref="J175">IF(D130&lt;4,0,SUM(IFERROR(K169:K174,0)))</f>
        <v>0</v>
      </c>
      <c r="K175" s="180"/>
      <c r="L175" s="45"/>
      <c r="M175"/>
      <c r="N175"/>
      <c r="O175"/>
    </row>
    <row r="176" spans="1:23" s="8" customFormat="1" ht="15" customHeight="1" x14ac:dyDescent="0.25">
      <c r="A176" s="35" t="s">
        <v>168</v>
      </c>
      <c r="B176" s="160"/>
      <c r="C176" s="161"/>
      <c r="D176" s="99" t="s">
        <v>166</v>
      </c>
      <c r="E176" s="99"/>
      <c r="F176" s="99"/>
      <c r="G176" s="100"/>
      <c r="H176" s="109">
        <f>MAX(100,(0.5*$D$125)/$D$130,V169)</f>
        <v>100</v>
      </c>
      <c r="I176" s="111"/>
      <c r="J176" s="109">
        <f>MAX(100,(0.5*$I$125)/$D$130,V169)</f>
        <v>100</v>
      </c>
      <c r="K176" s="111"/>
      <c r="L176" s="45"/>
      <c r="M176"/>
      <c r="N176"/>
      <c r="O176"/>
    </row>
    <row r="177" spans="1:23" s="8" customFormat="1" ht="15" customHeight="1" x14ac:dyDescent="0.25">
      <c r="A177" s="197" t="str">
        <f>IF(OR(S169&lt;1,S170&lt;1),"Warning: Doesn’t meet the minimum BU's requirement per line."," ")</f>
        <v>Warning: Doesn’t meet the minimum BU's requirement per line.</v>
      </c>
      <c r="B177" s="154"/>
      <c r="C177" s="154"/>
      <c r="D177" s="154"/>
      <c r="E177" s="154"/>
      <c r="F177" s="154"/>
      <c r="G177" s="154"/>
      <c r="H177" s="154"/>
      <c r="I177" s="154"/>
      <c r="J177" s="154"/>
      <c r="K177" s="198"/>
      <c r="L177" s="45"/>
      <c r="M177"/>
      <c r="N177"/>
      <c r="O177"/>
      <c r="P177"/>
      <c r="Q177"/>
      <c r="R177"/>
      <c r="S177"/>
      <c r="T177"/>
      <c r="U177"/>
      <c r="V177"/>
      <c r="W177"/>
    </row>
    <row r="178" spans="1:23" s="8" customFormat="1" ht="15" customHeight="1" x14ac:dyDescent="0.25">
      <c r="A178" s="201"/>
      <c r="B178" s="157"/>
      <c r="C178" s="157"/>
      <c r="D178" s="157"/>
      <c r="E178" s="157"/>
      <c r="F178" s="157"/>
      <c r="G178" s="157"/>
      <c r="H178" s="157"/>
      <c r="I178" s="157"/>
      <c r="J178" s="157"/>
      <c r="K178" s="202"/>
      <c r="L178" s="45"/>
      <c r="M178"/>
      <c r="N178"/>
      <c r="O178"/>
      <c r="P178"/>
      <c r="Q178"/>
      <c r="R178"/>
      <c r="S178"/>
      <c r="T178"/>
      <c r="U178"/>
      <c r="V178"/>
    </row>
    <row r="179" spans="1:23" s="8" customFormat="1" ht="15" customHeight="1" x14ac:dyDescent="0.25">
      <c r="A179" s="33" t="s">
        <v>83</v>
      </c>
      <c r="B179" s="33" t="s">
        <v>198</v>
      </c>
      <c r="C179" s="34" t="s">
        <v>86</v>
      </c>
      <c r="D179" s="33" t="s">
        <v>87</v>
      </c>
      <c r="E179" s="33" t="s">
        <v>111</v>
      </c>
      <c r="F179" s="33" t="s">
        <v>84</v>
      </c>
      <c r="G179" s="33" t="s">
        <v>85</v>
      </c>
      <c r="H179" s="24" t="s">
        <v>165</v>
      </c>
      <c r="I179" s="24" t="s">
        <v>169</v>
      </c>
      <c r="J179" s="24" t="s">
        <v>165</v>
      </c>
      <c r="K179" s="24" t="s">
        <v>169</v>
      </c>
      <c r="L179" s="45"/>
      <c r="M179"/>
      <c r="N179"/>
      <c r="O179"/>
      <c r="V179" s="8" t="s">
        <v>164</v>
      </c>
    </row>
    <row r="180" spans="1:23" s="8" customFormat="1" ht="15" customHeight="1" x14ac:dyDescent="0.25">
      <c r="A180" s="237" t="s">
        <v>189</v>
      </c>
      <c r="B180" s="20" t="s">
        <v>199</v>
      </c>
      <c r="C180" s="19"/>
      <c r="D180" s="17"/>
      <c r="E180" s="16"/>
      <c r="F180" s="18"/>
      <c r="G180" s="18"/>
      <c r="H180" s="37" t="str">
        <f>IFERROR(VLOOKUP(F180,'Product Spec'!B:D,2,FALSE)," ")</f>
        <v xml:space="preserve"> </v>
      </c>
      <c r="I180" s="37" t="str">
        <f>IFERROR(C180*H180*P180*MIN(1,2.4/E180)," ")</f>
        <v xml:space="preserve"> </v>
      </c>
      <c r="J180" s="37" t="str">
        <f>IFERROR(VLOOKUP(F180,'Product Spec'!B:D,3,FALSE)," ")</f>
        <v xml:space="preserve"> </v>
      </c>
      <c r="K180" s="37" t="str">
        <f>IFERROR(C180*J180*P180*MIN(1,2.4/E180)," ")</f>
        <v xml:space="preserve"> </v>
      </c>
      <c r="L180" s="45"/>
      <c r="M180"/>
      <c r="N180"/>
      <c r="O180"/>
      <c r="P180" s="8">
        <f>IF(OR(D180=30,D180=45,D180=60),Q180,COS(R180))</f>
        <v>1</v>
      </c>
      <c r="Q180" s="8" t="e" cm="1">
        <f t="array" ref="Q180">_xlfn.IFS(D180=30,0.87,D180=45,0.7,D180=60,0.5)</f>
        <v>#N/A</v>
      </c>
      <c r="R180" s="8">
        <f>(PI()/180)*D180</f>
        <v>0</v>
      </c>
      <c r="S180" s="8">
        <f>H186/H187</f>
        <v>0</v>
      </c>
      <c r="V180" s="8">
        <f xml:space="preserve"> C187*15</f>
        <v>0</v>
      </c>
    </row>
    <row r="181" spans="1:23" s="8" customFormat="1" ht="15" customHeight="1" x14ac:dyDescent="0.25">
      <c r="A181" s="237"/>
      <c r="B181" s="20" t="s">
        <v>200</v>
      </c>
      <c r="C181" s="19"/>
      <c r="D181" s="17"/>
      <c r="E181" s="16"/>
      <c r="F181" s="18"/>
      <c r="G181" s="18"/>
      <c r="H181" s="37" t="str">
        <f>IFERROR(VLOOKUP(F181,'Product Spec'!B:D,2,FALSE)," ")</f>
        <v xml:space="preserve"> </v>
      </c>
      <c r="I181" s="37" t="str">
        <f t="shared" ref="I181:I185" si="56">IFERROR(C181*H181*P181*MIN(1,2.4/E181)," ")</f>
        <v xml:space="preserve"> </v>
      </c>
      <c r="J181" s="37" t="str">
        <f>IFERROR(VLOOKUP(F181,'Product Spec'!B:D,3,FALSE)," ")</f>
        <v xml:space="preserve"> </v>
      </c>
      <c r="K181" s="37" t="str">
        <f t="shared" ref="K181:K185" si="57">IFERROR(C181*J181*P181*MIN(1,2.4/E181)," ")</f>
        <v xml:space="preserve"> </v>
      </c>
      <c r="L181" s="45"/>
      <c r="M181"/>
      <c r="N181"/>
      <c r="O181"/>
      <c r="P181" s="8">
        <f t="shared" ref="P181:P185" si="58">IF(OR(D181=30,D181=45,D181=60),Q181,COS(R181))</f>
        <v>1</v>
      </c>
      <c r="Q181" s="8" t="e" cm="1">
        <f t="array" ref="Q181">_xlfn.IFS(D181=30,0.87,D181=45,0.7,D181=60,0.5)</f>
        <v>#N/A</v>
      </c>
      <c r="R181" s="8">
        <f t="shared" ref="R181:R185" si="59">(PI()/180)*D181</f>
        <v>0</v>
      </c>
      <c r="S181" s="8">
        <f>J186/J187</f>
        <v>0</v>
      </c>
    </row>
    <row r="182" spans="1:23" s="8" customFormat="1" ht="15" customHeight="1" x14ac:dyDescent="0.25">
      <c r="A182" s="237"/>
      <c r="B182" s="20" t="s">
        <v>201</v>
      </c>
      <c r="C182" s="19"/>
      <c r="D182" s="17"/>
      <c r="E182" s="16"/>
      <c r="F182" s="18"/>
      <c r="G182" s="18"/>
      <c r="H182" s="37" t="str">
        <f>IFERROR(VLOOKUP(F182,'Product Spec'!B:D,2,FALSE)," ")</f>
        <v xml:space="preserve"> </v>
      </c>
      <c r="I182" s="37" t="str">
        <f t="shared" si="56"/>
        <v xml:space="preserve"> </v>
      </c>
      <c r="J182" s="37" t="str">
        <f>IFERROR(VLOOKUP(F182,'Product Spec'!B:D,3,FALSE)," ")</f>
        <v xml:space="preserve"> </v>
      </c>
      <c r="K182" s="37" t="str">
        <f t="shared" si="57"/>
        <v xml:space="preserve"> </v>
      </c>
      <c r="L182" s="45"/>
      <c r="M182"/>
      <c r="N182"/>
      <c r="O182"/>
      <c r="P182" s="8">
        <f t="shared" si="58"/>
        <v>1</v>
      </c>
      <c r="Q182" s="8" t="e" cm="1">
        <f t="array" ref="Q182">_xlfn.IFS(D182=30,0.87,D182=45,0.7,D182=60,0.5)</f>
        <v>#N/A</v>
      </c>
      <c r="R182" s="8">
        <f t="shared" si="59"/>
        <v>0</v>
      </c>
    </row>
    <row r="183" spans="1:23" s="8" customFormat="1" ht="15" customHeight="1" x14ac:dyDescent="0.25">
      <c r="A183" s="237"/>
      <c r="B183" s="20" t="s">
        <v>202</v>
      </c>
      <c r="C183" s="19"/>
      <c r="D183" s="17"/>
      <c r="E183" s="16"/>
      <c r="F183" s="18"/>
      <c r="G183" s="18"/>
      <c r="H183" s="37" t="str">
        <f>IFERROR(VLOOKUP(F183,'Product Spec'!B:D,2,FALSE)," ")</f>
        <v xml:space="preserve"> </v>
      </c>
      <c r="I183" s="37" t="str">
        <f t="shared" si="56"/>
        <v xml:space="preserve"> </v>
      </c>
      <c r="J183" s="37" t="str">
        <f>IFERROR(VLOOKUP(F183,'Product Spec'!B:D,3,FALSE)," ")</f>
        <v xml:space="preserve"> </v>
      </c>
      <c r="K183" s="37" t="str">
        <f t="shared" si="57"/>
        <v xml:space="preserve"> </v>
      </c>
      <c r="L183" s="45"/>
      <c r="M183"/>
      <c r="N183"/>
      <c r="O183"/>
      <c r="P183" s="8">
        <f t="shared" si="58"/>
        <v>1</v>
      </c>
      <c r="Q183" s="8" t="e" cm="1">
        <f t="array" ref="Q183">_xlfn.IFS(D183=30,0.87,D183=45,0.7,D183=60,0.5)</f>
        <v>#N/A</v>
      </c>
      <c r="R183" s="8">
        <f t="shared" si="59"/>
        <v>0</v>
      </c>
    </row>
    <row r="184" spans="1:23" s="8" customFormat="1" ht="15" customHeight="1" x14ac:dyDescent="0.25">
      <c r="A184" s="237"/>
      <c r="B184" s="20" t="s">
        <v>203</v>
      </c>
      <c r="C184" s="19"/>
      <c r="D184" s="17"/>
      <c r="E184" s="16"/>
      <c r="F184" s="18"/>
      <c r="G184" s="18"/>
      <c r="H184" s="37" t="str">
        <f>IFERROR(VLOOKUP(F184,'Product Spec'!B:D,2,FALSE)," ")</f>
        <v xml:space="preserve"> </v>
      </c>
      <c r="I184" s="37" t="str">
        <f t="shared" si="56"/>
        <v xml:space="preserve"> </v>
      </c>
      <c r="J184" s="37" t="str">
        <f>IFERROR(VLOOKUP(F184,'Product Spec'!B:D,3,FALSE)," ")</f>
        <v xml:space="preserve"> </v>
      </c>
      <c r="K184" s="37" t="str">
        <f t="shared" si="57"/>
        <v xml:space="preserve"> </v>
      </c>
      <c r="L184" s="45"/>
      <c r="M184"/>
      <c r="N184"/>
      <c r="O184"/>
      <c r="P184" s="8">
        <f t="shared" si="58"/>
        <v>1</v>
      </c>
      <c r="Q184" s="8" t="e" cm="1">
        <f t="array" ref="Q184">_xlfn.IFS(D184=30,0.87,D184=45,0.7,D184=60,0.5)</f>
        <v>#N/A</v>
      </c>
      <c r="R184" s="8">
        <f t="shared" si="59"/>
        <v>0</v>
      </c>
    </row>
    <row r="185" spans="1:23" s="8" customFormat="1" ht="15" customHeight="1" x14ac:dyDescent="0.25">
      <c r="A185" s="237"/>
      <c r="B185" s="20" t="s">
        <v>204</v>
      </c>
      <c r="C185" s="19"/>
      <c r="D185" s="17"/>
      <c r="E185" s="16"/>
      <c r="F185" s="18"/>
      <c r="G185" s="18"/>
      <c r="H185" s="37" t="str">
        <f>IFERROR(VLOOKUP(F185,'Product Spec'!B:D,2,FALSE)," ")</f>
        <v xml:space="preserve"> </v>
      </c>
      <c r="I185" s="37" t="str">
        <f t="shared" si="56"/>
        <v xml:space="preserve"> </v>
      </c>
      <c r="J185" s="37" t="str">
        <f>IFERROR(VLOOKUP(F185,'Product Spec'!B:D,3,FALSE)," ")</f>
        <v xml:space="preserve"> </v>
      </c>
      <c r="K185" s="37" t="str">
        <f t="shared" si="57"/>
        <v xml:space="preserve"> </v>
      </c>
      <c r="L185" s="45"/>
      <c r="M185"/>
      <c r="N185"/>
      <c r="O185"/>
      <c r="P185" s="8">
        <f t="shared" si="58"/>
        <v>1</v>
      </c>
      <c r="Q185" s="8" t="e" cm="1">
        <f t="array" ref="Q185">_xlfn.IFS(D185=30,0.87,D185=45,0.7,D185=60,0.5)</f>
        <v>#N/A</v>
      </c>
      <c r="R185" s="8">
        <f t="shared" si="59"/>
        <v>0</v>
      </c>
    </row>
    <row r="186" spans="1:23" s="8" customFormat="1" ht="15" customHeight="1" x14ac:dyDescent="0.25">
      <c r="A186" s="237"/>
      <c r="B186" s="98" t="s">
        <v>170</v>
      </c>
      <c r="C186" s="99"/>
      <c r="D186" s="99"/>
      <c r="E186" s="99"/>
      <c r="F186" s="99"/>
      <c r="G186" s="100"/>
      <c r="H186" s="179" cm="1">
        <f t="array" ref="H186">IF(D130&lt;5,0,SUM(IFERROR(I180:I185,0)))</f>
        <v>0</v>
      </c>
      <c r="I186" s="180"/>
      <c r="J186" s="179" cm="1">
        <f t="array" ref="J186">IF(D130&lt;5,0,SUM(IFERROR(K180:K185,0)))</f>
        <v>0</v>
      </c>
      <c r="K186" s="180"/>
      <c r="L186" s="45"/>
      <c r="M186"/>
      <c r="N186"/>
      <c r="O186"/>
    </row>
    <row r="187" spans="1:23" ht="15" customHeight="1" x14ac:dyDescent="0.25">
      <c r="A187" s="35" t="s">
        <v>168</v>
      </c>
      <c r="B187" s="160"/>
      <c r="C187" s="161"/>
      <c r="D187" s="99" t="s">
        <v>166</v>
      </c>
      <c r="E187" s="99"/>
      <c r="F187" s="99"/>
      <c r="G187" s="100"/>
      <c r="H187" s="109">
        <f>MAX(100,(0.5*$D$125)/$D$130,V180)</f>
        <v>100</v>
      </c>
      <c r="I187" s="111"/>
      <c r="J187" s="109">
        <f>MAX(100,(0.5*$I$125)/$D$130,V180)</f>
        <v>100</v>
      </c>
      <c r="K187" s="111"/>
    </row>
    <row r="188" spans="1:23" ht="15" customHeight="1" x14ac:dyDescent="0.25">
      <c r="A188" s="197" t="str">
        <f>IF(OR(S180&lt;1,S181&lt;1),"Warning: Doesn’t meet the minimum BU's requirement per line."," ")</f>
        <v>Warning: Doesn’t meet the minimum BU's requirement per line.</v>
      </c>
      <c r="B188" s="154"/>
      <c r="C188" s="154"/>
      <c r="D188" s="154"/>
      <c r="E188" s="154"/>
      <c r="F188" s="154"/>
      <c r="G188" s="154"/>
      <c r="H188" s="154"/>
      <c r="I188" s="154"/>
      <c r="J188" s="154"/>
      <c r="K188" s="198"/>
    </row>
    <row r="189" spans="1:23" ht="15" customHeight="1" x14ac:dyDescent="0.25">
      <c r="A189" s="201"/>
      <c r="B189" s="157"/>
      <c r="C189" s="157"/>
      <c r="D189" s="157"/>
      <c r="E189" s="157"/>
      <c r="F189" s="157"/>
      <c r="G189" s="157"/>
      <c r="H189" s="157"/>
      <c r="I189" s="157"/>
      <c r="J189" s="157"/>
      <c r="K189" s="202"/>
    </row>
    <row r="190" spans="1:23" ht="15" customHeight="1" x14ac:dyDescent="0.25">
      <c r="A190" s="33" t="s">
        <v>83</v>
      </c>
      <c r="B190" s="33" t="s">
        <v>198</v>
      </c>
      <c r="C190" s="34" t="s">
        <v>86</v>
      </c>
      <c r="D190" s="33" t="s">
        <v>87</v>
      </c>
      <c r="E190" s="33" t="s">
        <v>111</v>
      </c>
      <c r="F190" s="33" t="s">
        <v>84</v>
      </c>
      <c r="G190" s="33" t="s">
        <v>85</v>
      </c>
      <c r="H190" s="24" t="s">
        <v>165</v>
      </c>
      <c r="I190" s="24" t="s">
        <v>169</v>
      </c>
      <c r="J190" s="24" t="s">
        <v>165</v>
      </c>
      <c r="K190" s="24" t="s">
        <v>169</v>
      </c>
      <c r="V190" s="45" t="s">
        <v>164</v>
      </c>
    </row>
    <row r="191" spans="1:23" ht="15" customHeight="1" x14ac:dyDescent="0.25">
      <c r="A191" s="237" t="s">
        <v>190</v>
      </c>
      <c r="B191" s="20" t="s">
        <v>199</v>
      </c>
      <c r="C191" s="19"/>
      <c r="D191" s="17"/>
      <c r="E191" s="16"/>
      <c r="F191" s="18"/>
      <c r="G191" s="18"/>
      <c r="H191" s="37" t="str">
        <f>IFERROR(VLOOKUP(F191,'Product Spec'!B:D,2,FALSE)," ")</f>
        <v xml:space="preserve"> </v>
      </c>
      <c r="I191" s="37" t="str">
        <f>IFERROR(C191*H191*P191*MIN(1,2.4/E191)," ")</f>
        <v xml:space="preserve"> </v>
      </c>
      <c r="J191" s="37" t="str">
        <f>IFERROR(VLOOKUP(F191,'Product Spec'!B:D,3,FALSE)," ")</f>
        <v xml:space="preserve"> </v>
      </c>
      <c r="K191" s="37" t="str">
        <f>IFERROR(C191*J191*P191*MIN(1,2.4/E191)," ")</f>
        <v xml:space="preserve"> </v>
      </c>
      <c r="P191" s="45">
        <f>IF(OR(D191=30,D191=45,D191=60),Q191,COS(R191))</f>
        <v>1</v>
      </c>
      <c r="Q191" s="45" t="e" cm="1">
        <f t="array" ref="Q191">_xlfn.IFS(D191=30,0.87,D191=45,0.7,D191=60,0.5)</f>
        <v>#N/A</v>
      </c>
      <c r="R191" s="45">
        <f>(PI()/180)*D191</f>
        <v>0</v>
      </c>
      <c r="S191" s="45">
        <f>H197/H198</f>
        <v>0</v>
      </c>
      <c r="V191" s="45">
        <f xml:space="preserve"> C198*15</f>
        <v>0</v>
      </c>
    </row>
    <row r="192" spans="1:23" ht="15" customHeight="1" x14ac:dyDescent="0.25">
      <c r="A192" s="237"/>
      <c r="B192" s="20" t="s">
        <v>200</v>
      </c>
      <c r="C192" s="19"/>
      <c r="D192" s="17"/>
      <c r="E192" s="16"/>
      <c r="F192" s="18"/>
      <c r="G192" s="18"/>
      <c r="H192" s="37" t="str">
        <f>IFERROR(VLOOKUP(F192,'Product Spec'!B:D,2,FALSE)," ")</f>
        <v xml:space="preserve"> </v>
      </c>
      <c r="I192" s="37" t="str">
        <f t="shared" ref="I192:I196" si="60">IFERROR(C192*H192*P192*MIN(1,2.4/E192)," ")</f>
        <v xml:space="preserve"> </v>
      </c>
      <c r="J192" s="37" t="str">
        <f>IFERROR(VLOOKUP(F192,'Product Spec'!B:D,3,FALSE)," ")</f>
        <v xml:space="preserve"> </v>
      </c>
      <c r="K192" s="37" t="str">
        <f t="shared" ref="K192:K196" si="61">IFERROR(C192*J192*P192*MIN(1,2.4/E192)," ")</f>
        <v xml:space="preserve"> </v>
      </c>
      <c r="P192" s="45">
        <f t="shared" ref="P192:P196" si="62">IF(OR(D192=30,D192=45,D192=60),Q192,COS(R192))</f>
        <v>1</v>
      </c>
      <c r="Q192" s="45" t="e" cm="1">
        <f t="array" ref="Q192">_xlfn.IFS(D192=30,0.87,D192=45,0.7,D192=60,0.5)</f>
        <v>#N/A</v>
      </c>
      <c r="R192" s="45">
        <f t="shared" ref="R192:R196" si="63">(PI()/180)*D192</f>
        <v>0</v>
      </c>
      <c r="S192" s="45">
        <f>J197/J198</f>
        <v>0</v>
      </c>
    </row>
    <row r="193" spans="1:22" ht="15" customHeight="1" x14ac:dyDescent="0.25">
      <c r="A193" s="237"/>
      <c r="B193" s="20" t="s">
        <v>201</v>
      </c>
      <c r="C193" s="19"/>
      <c r="D193" s="17"/>
      <c r="E193" s="16"/>
      <c r="F193" s="18"/>
      <c r="G193" s="18"/>
      <c r="H193" s="37" t="str">
        <f>IFERROR(VLOOKUP(F193,'Product Spec'!B:D,2,FALSE)," ")</f>
        <v xml:space="preserve"> </v>
      </c>
      <c r="I193" s="37" t="str">
        <f t="shared" si="60"/>
        <v xml:space="preserve"> </v>
      </c>
      <c r="J193" s="37" t="str">
        <f>IFERROR(VLOOKUP(F193,'Product Spec'!B:D,3,FALSE)," ")</f>
        <v xml:space="preserve"> </v>
      </c>
      <c r="K193" s="37" t="str">
        <f t="shared" si="61"/>
        <v xml:space="preserve"> </v>
      </c>
      <c r="P193" s="45">
        <f t="shared" si="62"/>
        <v>1</v>
      </c>
      <c r="Q193" s="45" t="e" cm="1">
        <f t="array" ref="Q193">_xlfn.IFS(D193=30,0.87,D193=45,0.7,D193=60,0.5)</f>
        <v>#N/A</v>
      </c>
      <c r="R193" s="45">
        <f t="shared" si="63"/>
        <v>0</v>
      </c>
    </row>
    <row r="194" spans="1:22" ht="15" customHeight="1" x14ac:dyDescent="0.25">
      <c r="A194" s="237"/>
      <c r="B194" s="20" t="s">
        <v>202</v>
      </c>
      <c r="C194" s="19"/>
      <c r="D194" s="17"/>
      <c r="E194" s="16"/>
      <c r="F194" s="18"/>
      <c r="G194" s="18"/>
      <c r="H194" s="37" t="str">
        <f>IFERROR(VLOOKUP(F194,'Product Spec'!B:D,2,FALSE)," ")</f>
        <v xml:space="preserve"> </v>
      </c>
      <c r="I194" s="37" t="str">
        <f t="shared" si="60"/>
        <v xml:space="preserve"> </v>
      </c>
      <c r="J194" s="37" t="str">
        <f>IFERROR(VLOOKUP(F194,'Product Spec'!B:D,3,FALSE)," ")</f>
        <v xml:space="preserve"> </v>
      </c>
      <c r="K194" s="37" t="str">
        <f t="shared" si="61"/>
        <v xml:space="preserve"> </v>
      </c>
      <c r="P194" s="45">
        <f t="shared" si="62"/>
        <v>1</v>
      </c>
      <c r="Q194" s="45" t="e" cm="1">
        <f t="array" ref="Q194">_xlfn.IFS(D194=30,0.87,D194=45,0.7,D194=60,0.5)</f>
        <v>#N/A</v>
      </c>
      <c r="R194" s="45">
        <f t="shared" si="63"/>
        <v>0</v>
      </c>
    </row>
    <row r="195" spans="1:22" ht="15" customHeight="1" x14ac:dyDescent="0.25">
      <c r="A195" s="237"/>
      <c r="B195" s="20" t="s">
        <v>203</v>
      </c>
      <c r="C195" s="19"/>
      <c r="D195" s="17"/>
      <c r="E195" s="16"/>
      <c r="F195" s="18"/>
      <c r="G195" s="18"/>
      <c r="H195" s="37" t="str">
        <f>IFERROR(VLOOKUP(F195,'Product Spec'!B:D,2,FALSE)," ")</f>
        <v xml:space="preserve"> </v>
      </c>
      <c r="I195" s="37" t="str">
        <f t="shared" si="60"/>
        <v xml:space="preserve"> </v>
      </c>
      <c r="J195" s="37" t="str">
        <f>IFERROR(VLOOKUP(F195,'Product Spec'!B:D,3,FALSE)," ")</f>
        <v xml:space="preserve"> </v>
      </c>
      <c r="K195" s="37" t="str">
        <f t="shared" si="61"/>
        <v xml:space="preserve"> </v>
      </c>
      <c r="P195" s="45">
        <f t="shared" si="62"/>
        <v>1</v>
      </c>
      <c r="Q195" s="45" t="e" cm="1">
        <f t="array" ref="Q195">_xlfn.IFS(D195=30,0.87,D195=45,0.7,D195=60,0.5)</f>
        <v>#N/A</v>
      </c>
      <c r="R195" s="45">
        <f t="shared" si="63"/>
        <v>0</v>
      </c>
    </row>
    <row r="196" spans="1:22" ht="15" customHeight="1" x14ac:dyDescent="0.25">
      <c r="A196" s="237"/>
      <c r="B196" s="20" t="s">
        <v>204</v>
      </c>
      <c r="C196" s="19"/>
      <c r="D196" s="17"/>
      <c r="E196" s="16"/>
      <c r="F196" s="18"/>
      <c r="G196" s="18"/>
      <c r="H196" s="37" t="str">
        <f>IFERROR(VLOOKUP(F196,'Product Spec'!B:D,2,FALSE)," ")</f>
        <v xml:space="preserve"> </v>
      </c>
      <c r="I196" s="37" t="str">
        <f t="shared" si="60"/>
        <v xml:space="preserve"> </v>
      </c>
      <c r="J196" s="37" t="str">
        <f>IFERROR(VLOOKUP(F196,'Product Spec'!B:D,3,FALSE)," ")</f>
        <v xml:space="preserve"> </v>
      </c>
      <c r="K196" s="37" t="str">
        <f t="shared" si="61"/>
        <v xml:space="preserve"> </v>
      </c>
      <c r="P196" s="45">
        <f t="shared" si="62"/>
        <v>1</v>
      </c>
      <c r="Q196" s="45" t="e" cm="1">
        <f t="array" ref="Q196">_xlfn.IFS(D196=30,0.87,D196=45,0.7,D196=60,0.5)</f>
        <v>#N/A</v>
      </c>
      <c r="R196" s="45">
        <f t="shared" si="63"/>
        <v>0</v>
      </c>
    </row>
    <row r="197" spans="1:22" ht="15" customHeight="1" x14ac:dyDescent="0.25">
      <c r="A197" s="237"/>
      <c r="B197" s="98" t="s">
        <v>170</v>
      </c>
      <c r="C197" s="99"/>
      <c r="D197" s="99"/>
      <c r="E197" s="99"/>
      <c r="F197" s="99"/>
      <c r="G197" s="100"/>
      <c r="H197" s="179" cm="1">
        <f t="array" ref="H197">IF(D130&lt;6,0,SUM(IFERROR(I191:I196,0)))</f>
        <v>0</v>
      </c>
      <c r="I197" s="180"/>
      <c r="J197" s="179" cm="1">
        <f t="array" ref="J197">IF(D130&lt;6,0,SUM(IFERROR(K191:K196,0)))</f>
        <v>0</v>
      </c>
      <c r="K197" s="180"/>
    </row>
    <row r="198" spans="1:22" ht="15" customHeight="1" x14ac:dyDescent="0.25">
      <c r="A198" s="35" t="s">
        <v>168</v>
      </c>
      <c r="B198" s="160"/>
      <c r="C198" s="161"/>
      <c r="D198" s="99" t="s">
        <v>166</v>
      </c>
      <c r="E198" s="99"/>
      <c r="F198" s="99"/>
      <c r="G198" s="100"/>
      <c r="H198" s="109">
        <f>MAX(100,(0.5*$D$125)/$D$130,V191)</f>
        <v>100</v>
      </c>
      <c r="I198" s="111"/>
      <c r="J198" s="109">
        <f>MAX(100,(0.5*$I$125)/$D$130,V191)</f>
        <v>100</v>
      </c>
      <c r="K198" s="111"/>
    </row>
    <row r="199" spans="1:22" ht="15" customHeight="1" x14ac:dyDescent="0.25">
      <c r="A199" s="197" t="str">
        <f>IF(OR(S191&lt;1,S192&lt;1),"Warning: Doesn’t meet the minimum BU's requirement per line."," ")</f>
        <v>Warning: Doesn’t meet the minimum BU's requirement per line.</v>
      </c>
      <c r="B199" s="154"/>
      <c r="C199" s="154"/>
      <c r="D199" s="154"/>
      <c r="E199" s="154"/>
      <c r="F199" s="154"/>
      <c r="G199" s="154"/>
      <c r="H199" s="154"/>
      <c r="I199" s="154"/>
      <c r="J199" s="154"/>
      <c r="K199" s="198"/>
    </row>
    <row r="200" spans="1:22" ht="15" customHeight="1" x14ac:dyDescent="0.25">
      <c r="A200" s="201"/>
      <c r="B200" s="157"/>
      <c r="C200" s="157"/>
      <c r="D200" s="157"/>
      <c r="E200" s="157"/>
      <c r="F200" s="157"/>
      <c r="G200" s="157"/>
      <c r="H200" s="157"/>
      <c r="I200" s="157"/>
      <c r="J200" s="157"/>
      <c r="K200" s="202"/>
    </row>
    <row r="201" spans="1:22" ht="15" customHeight="1" x14ac:dyDescent="0.25">
      <c r="A201" s="33" t="s">
        <v>83</v>
      </c>
      <c r="B201" s="33" t="s">
        <v>198</v>
      </c>
      <c r="C201" s="34" t="s">
        <v>86</v>
      </c>
      <c r="D201" s="33" t="s">
        <v>87</v>
      </c>
      <c r="E201" s="33" t="s">
        <v>111</v>
      </c>
      <c r="F201" s="33" t="s">
        <v>84</v>
      </c>
      <c r="G201" s="33" t="s">
        <v>85</v>
      </c>
      <c r="H201" s="24" t="s">
        <v>165</v>
      </c>
      <c r="I201" s="24" t="s">
        <v>169</v>
      </c>
      <c r="J201" s="24" t="s">
        <v>165</v>
      </c>
      <c r="K201" s="24" t="s">
        <v>169</v>
      </c>
      <c r="V201" s="45" t="s">
        <v>164</v>
      </c>
    </row>
    <row r="202" spans="1:22" ht="15" customHeight="1" x14ac:dyDescent="0.25">
      <c r="A202" s="237" t="s">
        <v>191</v>
      </c>
      <c r="B202" s="20" t="s">
        <v>199</v>
      </c>
      <c r="C202" s="19"/>
      <c r="D202" s="17"/>
      <c r="E202" s="16"/>
      <c r="F202" s="18"/>
      <c r="G202" s="18"/>
      <c r="H202" s="37" t="str">
        <f>IFERROR(VLOOKUP(F202,'Product Spec'!B:D,2,FALSE)," ")</f>
        <v xml:space="preserve"> </v>
      </c>
      <c r="I202" s="37" t="str">
        <f>IFERROR(C202*H202*P202*MIN(1,2.4/E202)," ")</f>
        <v xml:space="preserve"> </v>
      </c>
      <c r="J202" s="37" t="str">
        <f>IFERROR(VLOOKUP(F202,'Product Spec'!B:D,3,FALSE)," ")</f>
        <v xml:space="preserve"> </v>
      </c>
      <c r="K202" s="37" t="str">
        <f>IFERROR(C202*J202*P202*MIN(1,2.4/E202)," ")</f>
        <v xml:space="preserve"> </v>
      </c>
      <c r="P202" s="45">
        <f>IF(OR(D202=30,D202=45,D202=60),Q202,COS(R202))</f>
        <v>1</v>
      </c>
      <c r="Q202" s="45" t="e" cm="1">
        <f t="array" ref="Q202">_xlfn.IFS(D202=30,0.87,D202=45,0.7,D202=60,0.5)</f>
        <v>#N/A</v>
      </c>
      <c r="R202" s="45">
        <f>(PI()/180)*D202</f>
        <v>0</v>
      </c>
      <c r="S202" s="45">
        <f>H208/H209</f>
        <v>0</v>
      </c>
      <c r="V202" s="45">
        <f xml:space="preserve"> C209*15</f>
        <v>0</v>
      </c>
    </row>
    <row r="203" spans="1:22" ht="15" customHeight="1" x14ac:dyDescent="0.25">
      <c r="A203" s="237"/>
      <c r="B203" s="20" t="s">
        <v>200</v>
      </c>
      <c r="C203" s="19"/>
      <c r="D203" s="17"/>
      <c r="E203" s="16"/>
      <c r="F203" s="18"/>
      <c r="G203" s="18"/>
      <c r="H203" s="37" t="str">
        <f>IFERROR(VLOOKUP(F203,'Product Spec'!B:D,2,FALSE)," ")</f>
        <v xml:space="preserve"> </v>
      </c>
      <c r="I203" s="37" t="str">
        <f t="shared" ref="I203:I207" si="64">IFERROR(C203*H203*P203*MIN(1,2.4/E203)," ")</f>
        <v xml:space="preserve"> </v>
      </c>
      <c r="J203" s="37" t="str">
        <f>IFERROR(VLOOKUP(F203,'Product Spec'!B:D,3,FALSE)," ")</f>
        <v xml:space="preserve"> </v>
      </c>
      <c r="K203" s="37" t="str">
        <f t="shared" ref="K203:K207" si="65">IFERROR(C203*J203*P203*MIN(1,2.4/E203)," ")</f>
        <v xml:space="preserve"> </v>
      </c>
      <c r="P203" s="45">
        <f t="shared" ref="P203:P207" si="66">IF(OR(D203=30,D203=45,D203=60),Q203,COS(R203))</f>
        <v>1</v>
      </c>
      <c r="Q203" s="45" t="e" cm="1">
        <f t="array" ref="Q203">_xlfn.IFS(D203=30,0.87,D203=45,0.7,D203=60,0.5)</f>
        <v>#N/A</v>
      </c>
      <c r="R203" s="45">
        <f t="shared" ref="R203:R207" si="67">(PI()/180)*D203</f>
        <v>0</v>
      </c>
      <c r="S203" s="45">
        <f>J208/J209</f>
        <v>0</v>
      </c>
    </row>
    <row r="204" spans="1:22" ht="15" customHeight="1" x14ac:dyDescent="0.25">
      <c r="A204" s="237"/>
      <c r="B204" s="20" t="s">
        <v>201</v>
      </c>
      <c r="C204" s="19"/>
      <c r="D204" s="17"/>
      <c r="E204" s="16"/>
      <c r="F204" s="18"/>
      <c r="G204" s="18"/>
      <c r="H204" s="37" t="str">
        <f>IFERROR(VLOOKUP(F204,'Product Spec'!B:D,2,FALSE)," ")</f>
        <v xml:space="preserve"> </v>
      </c>
      <c r="I204" s="37" t="str">
        <f t="shared" si="64"/>
        <v xml:space="preserve"> </v>
      </c>
      <c r="J204" s="37" t="str">
        <f>IFERROR(VLOOKUP(F204,'Product Spec'!B:D,3,FALSE)," ")</f>
        <v xml:space="preserve"> </v>
      </c>
      <c r="K204" s="37" t="str">
        <f t="shared" si="65"/>
        <v xml:space="preserve"> </v>
      </c>
      <c r="P204" s="45">
        <f t="shared" si="66"/>
        <v>1</v>
      </c>
      <c r="Q204" s="45" t="e" cm="1">
        <f t="array" ref="Q204">_xlfn.IFS(D204=30,0.87,D204=45,0.7,D204=60,0.5)</f>
        <v>#N/A</v>
      </c>
      <c r="R204" s="45">
        <f t="shared" si="67"/>
        <v>0</v>
      </c>
    </row>
    <row r="205" spans="1:22" ht="15" customHeight="1" x14ac:dyDescent="0.25">
      <c r="A205" s="237"/>
      <c r="B205" s="20" t="s">
        <v>202</v>
      </c>
      <c r="C205" s="19"/>
      <c r="D205" s="17"/>
      <c r="E205" s="16"/>
      <c r="F205" s="18"/>
      <c r="G205" s="18"/>
      <c r="H205" s="37" t="str">
        <f>IFERROR(VLOOKUP(F205,'Product Spec'!B:D,2,FALSE)," ")</f>
        <v xml:space="preserve"> </v>
      </c>
      <c r="I205" s="37" t="str">
        <f t="shared" si="64"/>
        <v xml:space="preserve"> </v>
      </c>
      <c r="J205" s="37" t="str">
        <f>IFERROR(VLOOKUP(F205,'Product Spec'!B:D,3,FALSE)," ")</f>
        <v xml:space="preserve"> </v>
      </c>
      <c r="K205" s="37" t="str">
        <f t="shared" si="65"/>
        <v xml:space="preserve"> </v>
      </c>
      <c r="P205" s="45">
        <f t="shared" si="66"/>
        <v>1</v>
      </c>
      <c r="Q205" s="45" t="e" cm="1">
        <f t="array" ref="Q205">_xlfn.IFS(D205=30,0.87,D205=45,0.7,D205=60,0.5)</f>
        <v>#N/A</v>
      </c>
      <c r="R205" s="45">
        <f t="shared" si="67"/>
        <v>0</v>
      </c>
    </row>
    <row r="206" spans="1:22" ht="15" customHeight="1" x14ac:dyDescent="0.25">
      <c r="A206" s="237"/>
      <c r="B206" s="20" t="s">
        <v>203</v>
      </c>
      <c r="C206" s="19"/>
      <c r="D206" s="17"/>
      <c r="E206" s="16"/>
      <c r="F206" s="18"/>
      <c r="G206" s="18"/>
      <c r="H206" s="37" t="str">
        <f>IFERROR(VLOOKUP(F206,'Product Spec'!B:D,2,FALSE)," ")</f>
        <v xml:space="preserve"> </v>
      </c>
      <c r="I206" s="37" t="str">
        <f t="shared" si="64"/>
        <v xml:space="preserve"> </v>
      </c>
      <c r="J206" s="37" t="str">
        <f>IFERROR(VLOOKUP(F206,'Product Spec'!B:D,3,FALSE)," ")</f>
        <v xml:space="preserve"> </v>
      </c>
      <c r="K206" s="37" t="str">
        <f t="shared" si="65"/>
        <v xml:space="preserve"> </v>
      </c>
      <c r="P206" s="45">
        <f t="shared" si="66"/>
        <v>1</v>
      </c>
      <c r="Q206" s="45" t="e" cm="1">
        <f t="array" ref="Q206">_xlfn.IFS(D206=30,0.87,D206=45,0.7,D206=60,0.5)</f>
        <v>#N/A</v>
      </c>
      <c r="R206" s="45">
        <f t="shared" si="67"/>
        <v>0</v>
      </c>
    </row>
    <row r="207" spans="1:22" ht="15" customHeight="1" x14ac:dyDescent="0.25">
      <c r="A207" s="237"/>
      <c r="B207" s="20" t="s">
        <v>204</v>
      </c>
      <c r="C207" s="19"/>
      <c r="D207" s="17"/>
      <c r="E207" s="16"/>
      <c r="F207" s="18"/>
      <c r="G207" s="18"/>
      <c r="H207" s="37" t="str">
        <f>IFERROR(VLOOKUP(F207,'Product Spec'!B:D,2,FALSE)," ")</f>
        <v xml:space="preserve"> </v>
      </c>
      <c r="I207" s="37" t="str">
        <f t="shared" si="64"/>
        <v xml:space="preserve"> </v>
      </c>
      <c r="J207" s="37" t="str">
        <f>IFERROR(VLOOKUP(F207,'Product Spec'!B:D,3,FALSE)," ")</f>
        <v xml:space="preserve"> </v>
      </c>
      <c r="K207" s="37" t="str">
        <f t="shared" si="65"/>
        <v xml:space="preserve"> </v>
      </c>
      <c r="P207" s="45">
        <f t="shared" si="66"/>
        <v>1</v>
      </c>
      <c r="Q207" s="45" t="e" cm="1">
        <f t="array" ref="Q207">_xlfn.IFS(D207=30,0.87,D207=45,0.7,D207=60,0.5)</f>
        <v>#N/A</v>
      </c>
      <c r="R207" s="45">
        <f t="shared" si="67"/>
        <v>0</v>
      </c>
    </row>
    <row r="208" spans="1:22" ht="15" customHeight="1" x14ac:dyDescent="0.25">
      <c r="A208" s="237"/>
      <c r="B208" s="98" t="s">
        <v>170</v>
      </c>
      <c r="C208" s="99"/>
      <c r="D208" s="99"/>
      <c r="E208" s="99"/>
      <c r="F208" s="99"/>
      <c r="G208" s="100"/>
      <c r="H208" s="179" cm="1">
        <f t="array" ref="H208">IF(D130&lt;7,0,SUM(IFERROR(I202:I207,0)))</f>
        <v>0</v>
      </c>
      <c r="I208" s="180"/>
      <c r="J208" s="179" cm="1">
        <f t="array" ref="J208">IF(D130&lt;7,0,SUM(IFERROR(K202:K207,0)))</f>
        <v>0</v>
      </c>
      <c r="K208" s="180"/>
    </row>
    <row r="209" spans="1:22" ht="15" customHeight="1" x14ac:dyDescent="0.25">
      <c r="A209" s="35" t="s">
        <v>168</v>
      </c>
      <c r="B209" s="160"/>
      <c r="C209" s="161"/>
      <c r="D209" s="99" t="s">
        <v>166</v>
      </c>
      <c r="E209" s="99"/>
      <c r="F209" s="99"/>
      <c r="G209" s="100"/>
      <c r="H209" s="150">
        <f>MAX(100,(0.5*$D$125)/$D$130,V202)</f>
        <v>100</v>
      </c>
      <c r="I209" s="151"/>
      <c r="J209" s="150">
        <f>MAX(100,(0.5*$I$125)/$D$130,V202)</f>
        <v>100</v>
      </c>
      <c r="K209" s="151"/>
    </row>
    <row r="210" spans="1:22" ht="15" customHeight="1" x14ac:dyDescent="0.25">
      <c r="A210" s="197" t="str">
        <f>IF(OR(S202&lt;1,S203&lt;1),"Warning: Doesn’t meet the minimum BU's requirement per line."," ")</f>
        <v>Warning: Doesn’t meet the minimum BU's requirement per line.</v>
      </c>
      <c r="B210" s="154"/>
      <c r="C210" s="154"/>
      <c r="D210" s="154"/>
      <c r="E210" s="154"/>
      <c r="F210" s="154"/>
      <c r="G210" s="154"/>
      <c r="H210" s="154"/>
      <c r="I210" s="154"/>
      <c r="J210" s="154"/>
      <c r="K210" s="198"/>
    </row>
    <row r="211" spans="1:22" ht="15" customHeight="1" x14ac:dyDescent="0.25">
      <c r="A211" s="201"/>
      <c r="B211" s="157"/>
      <c r="C211" s="157"/>
      <c r="D211" s="157"/>
      <c r="E211" s="157"/>
      <c r="F211" s="157"/>
      <c r="G211" s="157"/>
      <c r="H211" s="157"/>
      <c r="I211" s="157"/>
      <c r="J211" s="157"/>
      <c r="K211" s="202"/>
    </row>
    <row r="212" spans="1:22" ht="15" customHeight="1" x14ac:dyDescent="0.25">
      <c r="A212" s="33" t="s">
        <v>83</v>
      </c>
      <c r="B212" s="33" t="s">
        <v>198</v>
      </c>
      <c r="C212" s="34" t="s">
        <v>86</v>
      </c>
      <c r="D212" s="33" t="s">
        <v>87</v>
      </c>
      <c r="E212" s="33" t="s">
        <v>111</v>
      </c>
      <c r="F212" s="33" t="s">
        <v>84</v>
      </c>
      <c r="G212" s="33" t="s">
        <v>85</v>
      </c>
      <c r="H212" s="24" t="s">
        <v>165</v>
      </c>
      <c r="I212" s="24" t="s">
        <v>169</v>
      </c>
      <c r="J212" s="24" t="s">
        <v>165</v>
      </c>
      <c r="K212" s="24" t="s">
        <v>169</v>
      </c>
      <c r="V212" s="45" t="s">
        <v>164</v>
      </c>
    </row>
    <row r="213" spans="1:22" ht="15" customHeight="1" x14ac:dyDescent="0.25">
      <c r="A213" s="237" t="s">
        <v>192</v>
      </c>
      <c r="B213" s="20" t="s">
        <v>199</v>
      </c>
      <c r="C213" s="19"/>
      <c r="D213" s="17"/>
      <c r="E213" s="16"/>
      <c r="F213" s="18"/>
      <c r="G213" s="18"/>
      <c r="H213" s="37" t="str">
        <f>IFERROR(VLOOKUP(F213,'Product Spec'!B:D,2,FALSE)," ")</f>
        <v xml:space="preserve"> </v>
      </c>
      <c r="I213" s="37" t="str">
        <f>IFERROR(C213*H213*P213*MIN(1,2.4/E213)," ")</f>
        <v xml:space="preserve"> </v>
      </c>
      <c r="J213" s="37" t="str">
        <f>IFERROR(VLOOKUP(F213,'Product Spec'!B:D,3,FALSE)," ")</f>
        <v xml:space="preserve"> </v>
      </c>
      <c r="K213" s="37" t="str">
        <f>IFERROR(C213*J213*P213*MIN(1,2.4/E213)," ")</f>
        <v xml:space="preserve"> </v>
      </c>
      <c r="P213" s="45">
        <f>IF(OR(D213=30,D213=45,D213=60),Q213,COS(R213))</f>
        <v>1</v>
      </c>
      <c r="Q213" s="45" t="e" cm="1">
        <f t="array" ref="Q213">_xlfn.IFS(D213=30,0.87,D213=45,0.7,D213=60,0.5)</f>
        <v>#N/A</v>
      </c>
      <c r="R213" s="45">
        <f>(PI()/180)*D213</f>
        <v>0</v>
      </c>
      <c r="S213" s="45">
        <f>H219/H220</f>
        <v>0</v>
      </c>
      <c r="V213" s="45">
        <f xml:space="preserve"> C220*15</f>
        <v>0</v>
      </c>
    </row>
    <row r="214" spans="1:22" ht="15" customHeight="1" x14ac:dyDescent="0.25">
      <c r="A214" s="237"/>
      <c r="B214" s="20" t="s">
        <v>200</v>
      </c>
      <c r="C214" s="19"/>
      <c r="D214" s="17"/>
      <c r="E214" s="16"/>
      <c r="F214" s="18"/>
      <c r="G214" s="18"/>
      <c r="H214" s="37" t="str">
        <f>IFERROR(VLOOKUP(F214,'Product Spec'!B:D,2,FALSE)," ")</f>
        <v xml:space="preserve"> </v>
      </c>
      <c r="I214" s="37" t="str">
        <f t="shared" ref="I214:I218" si="68">IFERROR(C214*H214*P214*MIN(1,2.4/E214)," ")</f>
        <v xml:space="preserve"> </v>
      </c>
      <c r="J214" s="37" t="str">
        <f>IFERROR(VLOOKUP(F214,'Product Spec'!B:D,3,FALSE)," ")</f>
        <v xml:space="preserve"> </v>
      </c>
      <c r="K214" s="37" t="str">
        <f t="shared" ref="K214:K218" si="69">IFERROR(C214*J214*P214*MIN(1,2.4/E214)," ")</f>
        <v xml:space="preserve"> </v>
      </c>
      <c r="P214" s="45">
        <f t="shared" ref="P214:P218" si="70">IF(OR(D214=30,D214=45,D214=60),Q214,COS(R214))</f>
        <v>1</v>
      </c>
      <c r="Q214" s="45" t="e" cm="1">
        <f t="array" ref="Q214">_xlfn.IFS(D214=30,0.87,D214=45,0.7,D214=60,0.5)</f>
        <v>#N/A</v>
      </c>
      <c r="R214" s="45">
        <f t="shared" ref="R214:R218" si="71">(PI()/180)*D214</f>
        <v>0</v>
      </c>
      <c r="S214" s="45">
        <f>J219/J220</f>
        <v>0</v>
      </c>
    </row>
    <row r="215" spans="1:22" ht="15" customHeight="1" x14ac:dyDescent="0.25">
      <c r="A215" s="237"/>
      <c r="B215" s="20" t="s">
        <v>201</v>
      </c>
      <c r="C215" s="19"/>
      <c r="D215" s="17"/>
      <c r="E215" s="16"/>
      <c r="F215" s="18"/>
      <c r="G215" s="18"/>
      <c r="H215" s="37" t="str">
        <f>IFERROR(VLOOKUP(F215,'Product Spec'!B:D,2,FALSE)," ")</f>
        <v xml:space="preserve"> </v>
      </c>
      <c r="I215" s="37" t="str">
        <f t="shared" si="68"/>
        <v xml:space="preserve"> </v>
      </c>
      <c r="J215" s="37" t="str">
        <f>IFERROR(VLOOKUP(F215,'Product Spec'!B:D,3,FALSE)," ")</f>
        <v xml:space="preserve"> </v>
      </c>
      <c r="K215" s="37" t="str">
        <f t="shared" si="69"/>
        <v xml:space="preserve"> </v>
      </c>
      <c r="P215" s="45">
        <f t="shared" si="70"/>
        <v>1</v>
      </c>
      <c r="Q215" s="45" t="e" cm="1">
        <f t="array" ref="Q215">_xlfn.IFS(D215=30,0.87,D215=45,0.7,D215=60,0.5)</f>
        <v>#N/A</v>
      </c>
      <c r="R215" s="45">
        <f t="shared" si="71"/>
        <v>0</v>
      </c>
    </row>
    <row r="216" spans="1:22" ht="15" customHeight="1" x14ac:dyDescent="0.25">
      <c r="A216" s="237"/>
      <c r="B216" s="20" t="s">
        <v>202</v>
      </c>
      <c r="C216" s="19"/>
      <c r="D216" s="17"/>
      <c r="E216" s="16"/>
      <c r="F216" s="18"/>
      <c r="G216" s="18"/>
      <c r="H216" s="37" t="str">
        <f>IFERROR(VLOOKUP(F216,'Product Spec'!B:D,2,FALSE)," ")</f>
        <v xml:space="preserve"> </v>
      </c>
      <c r="I216" s="37" t="str">
        <f t="shared" si="68"/>
        <v xml:space="preserve"> </v>
      </c>
      <c r="J216" s="37" t="str">
        <f>IFERROR(VLOOKUP(F216,'Product Spec'!B:D,3,FALSE)," ")</f>
        <v xml:space="preserve"> </v>
      </c>
      <c r="K216" s="37" t="str">
        <f t="shared" si="69"/>
        <v xml:space="preserve"> </v>
      </c>
      <c r="P216" s="45">
        <f t="shared" si="70"/>
        <v>1</v>
      </c>
      <c r="Q216" s="45" t="e" cm="1">
        <f t="array" ref="Q216">_xlfn.IFS(D216=30,0.87,D216=45,0.7,D216=60,0.5)</f>
        <v>#N/A</v>
      </c>
      <c r="R216" s="45">
        <f t="shared" si="71"/>
        <v>0</v>
      </c>
    </row>
    <row r="217" spans="1:22" ht="15" customHeight="1" x14ac:dyDescent="0.25">
      <c r="A217" s="237"/>
      <c r="B217" s="20" t="s">
        <v>203</v>
      </c>
      <c r="C217" s="19"/>
      <c r="D217" s="17"/>
      <c r="E217" s="16"/>
      <c r="F217" s="18"/>
      <c r="G217" s="18"/>
      <c r="H217" s="37" t="str">
        <f>IFERROR(VLOOKUP(F217,'Product Spec'!B:D,2,FALSE)," ")</f>
        <v xml:space="preserve"> </v>
      </c>
      <c r="I217" s="37" t="str">
        <f t="shared" si="68"/>
        <v xml:space="preserve"> </v>
      </c>
      <c r="J217" s="37" t="str">
        <f>IFERROR(VLOOKUP(F217,'Product Spec'!B:D,3,FALSE)," ")</f>
        <v xml:space="preserve"> </v>
      </c>
      <c r="K217" s="37" t="str">
        <f t="shared" si="69"/>
        <v xml:space="preserve"> </v>
      </c>
      <c r="P217" s="45">
        <f t="shared" si="70"/>
        <v>1</v>
      </c>
      <c r="Q217" s="45" t="e" cm="1">
        <f t="array" ref="Q217">_xlfn.IFS(D217=30,0.87,D217=45,0.7,D217=60,0.5)</f>
        <v>#N/A</v>
      </c>
      <c r="R217" s="45">
        <f t="shared" si="71"/>
        <v>0</v>
      </c>
    </row>
    <row r="218" spans="1:22" ht="15" customHeight="1" x14ac:dyDescent="0.25">
      <c r="A218" s="237"/>
      <c r="B218" s="20" t="s">
        <v>204</v>
      </c>
      <c r="C218" s="19"/>
      <c r="D218" s="17"/>
      <c r="E218" s="16"/>
      <c r="F218" s="18"/>
      <c r="G218" s="18"/>
      <c r="H218" s="37" t="str">
        <f>IFERROR(VLOOKUP(F218,'Product Spec'!B:D,2,FALSE)," ")</f>
        <v xml:space="preserve"> </v>
      </c>
      <c r="I218" s="37" t="str">
        <f t="shared" si="68"/>
        <v xml:space="preserve"> </v>
      </c>
      <c r="J218" s="37" t="str">
        <f>IFERROR(VLOOKUP(F218,'Product Spec'!B:D,3,FALSE)," ")</f>
        <v xml:space="preserve"> </v>
      </c>
      <c r="K218" s="37" t="str">
        <f t="shared" si="69"/>
        <v xml:space="preserve"> </v>
      </c>
      <c r="P218" s="45">
        <f t="shared" si="70"/>
        <v>1</v>
      </c>
      <c r="Q218" s="45" t="e" cm="1">
        <f t="array" ref="Q218">_xlfn.IFS(D218=30,0.87,D218=45,0.7,D218=60,0.5)</f>
        <v>#N/A</v>
      </c>
      <c r="R218" s="45">
        <f t="shared" si="71"/>
        <v>0</v>
      </c>
    </row>
    <row r="219" spans="1:22" ht="15" customHeight="1" x14ac:dyDescent="0.25">
      <c r="A219" s="237"/>
      <c r="B219" s="98" t="s">
        <v>170</v>
      </c>
      <c r="C219" s="99"/>
      <c r="D219" s="99"/>
      <c r="E219" s="99"/>
      <c r="F219" s="99"/>
      <c r="G219" s="100"/>
      <c r="H219" s="179" cm="1">
        <f t="array" ref="H219">IF(D130&lt;8,0,SUM(IFERROR(I213:I218,0)))</f>
        <v>0</v>
      </c>
      <c r="I219" s="180"/>
      <c r="J219" s="179" cm="1">
        <f t="array" ref="J219">IF(D130&lt;8,0,SUM(IFERROR(K213:K218,0)))</f>
        <v>0</v>
      </c>
      <c r="K219" s="180"/>
    </row>
    <row r="220" spans="1:22" ht="15" customHeight="1" x14ac:dyDescent="0.25">
      <c r="A220" s="35" t="s">
        <v>168</v>
      </c>
      <c r="B220" s="160"/>
      <c r="C220" s="161"/>
      <c r="D220" s="99" t="s">
        <v>166</v>
      </c>
      <c r="E220" s="99"/>
      <c r="F220" s="99"/>
      <c r="G220" s="100"/>
      <c r="H220" s="150">
        <f>MAX(100,(0.5*$D$125)/$D$130,V213)</f>
        <v>100</v>
      </c>
      <c r="I220" s="151"/>
      <c r="J220" s="150">
        <f>MAX(100,(0.5*$I$125)/$D$130,V213)</f>
        <v>100</v>
      </c>
      <c r="K220" s="151"/>
    </row>
    <row r="221" spans="1:22" ht="15" customHeight="1" x14ac:dyDescent="0.25">
      <c r="A221" s="197" t="str">
        <f>IF(OR(S213&lt;1,S214&lt;1),"Warning: Doesn’t meet the minimum BU's requirement per line."," ")</f>
        <v>Warning: Doesn’t meet the minimum BU's requirement per line.</v>
      </c>
      <c r="B221" s="154"/>
      <c r="C221" s="154"/>
      <c r="D221" s="154"/>
      <c r="E221" s="154"/>
      <c r="F221" s="154"/>
      <c r="G221" s="154"/>
      <c r="H221" s="154"/>
      <c r="I221" s="154"/>
      <c r="J221" s="154"/>
      <c r="K221" s="198"/>
    </row>
    <row r="222" spans="1:22" ht="15" customHeight="1" x14ac:dyDescent="0.25">
      <c r="A222" s="201"/>
      <c r="B222" s="157"/>
      <c r="C222" s="157"/>
      <c r="D222" s="157"/>
      <c r="E222" s="157"/>
      <c r="F222" s="157"/>
      <c r="G222" s="157"/>
      <c r="H222" s="157"/>
      <c r="I222" s="157"/>
      <c r="J222" s="157"/>
      <c r="K222" s="202"/>
    </row>
    <row r="223" spans="1:22" ht="15" customHeight="1" x14ac:dyDescent="0.25">
      <c r="A223" s="33" t="s">
        <v>83</v>
      </c>
      <c r="B223" s="33" t="s">
        <v>198</v>
      </c>
      <c r="C223" s="34" t="s">
        <v>86</v>
      </c>
      <c r="D223" s="33" t="s">
        <v>87</v>
      </c>
      <c r="E223" s="33" t="s">
        <v>111</v>
      </c>
      <c r="F223" s="33" t="s">
        <v>84</v>
      </c>
      <c r="G223" s="33" t="s">
        <v>85</v>
      </c>
      <c r="H223" s="24" t="s">
        <v>165</v>
      </c>
      <c r="I223" s="24" t="s">
        <v>169</v>
      </c>
      <c r="J223" s="24" t="s">
        <v>165</v>
      </c>
      <c r="K223" s="24" t="s">
        <v>169</v>
      </c>
      <c r="V223" s="45" t="s">
        <v>164</v>
      </c>
    </row>
    <row r="224" spans="1:22" ht="15" customHeight="1" x14ac:dyDescent="0.25">
      <c r="A224" s="237" t="s">
        <v>193</v>
      </c>
      <c r="B224" s="20" t="s">
        <v>199</v>
      </c>
      <c r="C224" s="19"/>
      <c r="D224" s="17"/>
      <c r="E224" s="16"/>
      <c r="F224" s="18"/>
      <c r="G224" s="18"/>
      <c r="H224" s="37" t="str">
        <f>IFERROR(VLOOKUP(F224,'Product Spec'!B:D,2,FALSE)," ")</f>
        <v xml:space="preserve"> </v>
      </c>
      <c r="I224" s="37" t="str">
        <f>IFERROR(C224*H224*P224*MIN(1,2.4/E224)," ")</f>
        <v xml:space="preserve"> </v>
      </c>
      <c r="J224" s="37" t="str">
        <f>IFERROR(VLOOKUP(F224,'Product Spec'!B:D,3,FALSE)," ")</f>
        <v xml:space="preserve"> </v>
      </c>
      <c r="K224" s="37" t="str">
        <f>IFERROR(C224*J224*P224*MIN(1,2.4/E224)," ")</f>
        <v xml:space="preserve"> </v>
      </c>
      <c r="P224" s="45">
        <f>IF(OR(D224=30,D224=45,D224=60),Q224,COS(R224))</f>
        <v>1</v>
      </c>
      <c r="Q224" s="45" t="e" cm="1">
        <f t="array" ref="Q224">_xlfn.IFS(D224=30,0.87,D224=45,0.7,D224=60,0.5)</f>
        <v>#N/A</v>
      </c>
      <c r="R224" s="45">
        <f>(PI()/180)*D224</f>
        <v>0</v>
      </c>
      <c r="S224" s="45">
        <f>H230/H231</f>
        <v>0</v>
      </c>
      <c r="V224" s="45">
        <f xml:space="preserve"> C231*15</f>
        <v>0</v>
      </c>
    </row>
    <row r="225" spans="1:22" ht="15" customHeight="1" x14ac:dyDescent="0.25">
      <c r="A225" s="237"/>
      <c r="B225" s="20" t="s">
        <v>200</v>
      </c>
      <c r="C225" s="19"/>
      <c r="D225" s="17"/>
      <c r="E225" s="16"/>
      <c r="F225" s="18"/>
      <c r="G225" s="18"/>
      <c r="H225" s="37" t="str">
        <f>IFERROR(VLOOKUP(F225,'Product Spec'!B:D,2,FALSE)," ")</f>
        <v xml:space="preserve"> </v>
      </c>
      <c r="I225" s="37" t="str">
        <f t="shared" ref="I225:I229" si="72">IFERROR(C225*H225*P225*MIN(1,2.4/E225)," ")</f>
        <v xml:space="preserve"> </v>
      </c>
      <c r="J225" s="37" t="str">
        <f>IFERROR(VLOOKUP(F225,'Product Spec'!B:D,3,FALSE)," ")</f>
        <v xml:space="preserve"> </v>
      </c>
      <c r="K225" s="37" t="str">
        <f t="shared" ref="K225:K229" si="73">IFERROR(C225*J225*P225*MIN(1,2.4/E225)," ")</f>
        <v xml:space="preserve"> </v>
      </c>
      <c r="P225" s="45">
        <f t="shared" ref="P225:P229" si="74">IF(OR(D225=30,D225=45,D225=60),Q225,COS(R225))</f>
        <v>1</v>
      </c>
      <c r="Q225" s="45" t="e" cm="1">
        <f t="array" ref="Q225">_xlfn.IFS(D225=30,0.87,D225=45,0.7,D225=60,0.5)</f>
        <v>#N/A</v>
      </c>
      <c r="R225" s="45">
        <f t="shared" ref="R225:R229" si="75">(PI()/180)*D225</f>
        <v>0</v>
      </c>
      <c r="S225" s="45">
        <f>J230/J231</f>
        <v>0</v>
      </c>
    </row>
    <row r="226" spans="1:22" ht="15" customHeight="1" x14ac:dyDescent="0.25">
      <c r="A226" s="237"/>
      <c r="B226" s="20" t="s">
        <v>201</v>
      </c>
      <c r="C226" s="19"/>
      <c r="D226" s="17"/>
      <c r="E226" s="16"/>
      <c r="F226" s="18"/>
      <c r="G226" s="18"/>
      <c r="H226" s="37" t="str">
        <f>IFERROR(VLOOKUP(F226,'Product Spec'!B:D,2,FALSE)," ")</f>
        <v xml:space="preserve"> </v>
      </c>
      <c r="I226" s="37" t="str">
        <f t="shared" si="72"/>
        <v xml:space="preserve"> </v>
      </c>
      <c r="J226" s="37" t="str">
        <f>IFERROR(VLOOKUP(F226,'Product Spec'!B:D,3,FALSE)," ")</f>
        <v xml:space="preserve"> </v>
      </c>
      <c r="K226" s="37" t="str">
        <f t="shared" si="73"/>
        <v xml:space="preserve"> </v>
      </c>
      <c r="P226" s="45">
        <f t="shared" si="74"/>
        <v>1</v>
      </c>
      <c r="Q226" s="45" t="e" cm="1">
        <f t="array" ref="Q226">_xlfn.IFS(D226=30,0.87,D226=45,0.7,D226=60,0.5)</f>
        <v>#N/A</v>
      </c>
      <c r="R226" s="45">
        <f t="shared" si="75"/>
        <v>0</v>
      </c>
    </row>
    <row r="227" spans="1:22" ht="15" customHeight="1" x14ac:dyDescent="0.25">
      <c r="A227" s="237"/>
      <c r="B227" s="20" t="s">
        <v>202</v>
      </c>
      <c r="C227" s="19"/>
      <c r="D227" s="17"/>
      <c r="E227" s="16"/>
      <c r="F227" s="18"/>
      <c r="G227" s="18"/>
      <c r="H227" s="37" t="str">
        <f>IFERROR(VLOOKUP(F227,'Product Spec'!B:D,2,FALSE)," ")</f>
        <v xml:space="preserve"> </v>
      </c>
      <c r="I227" s="37" t="str">
        <f t="shared" si="72"/>
        <v xml:space="preserve"> </v>
      </c>
      <c r="J227" s="37" t="str">
        <f>IFERROR(VLOOKUP(F227,'Product Spec'!B:D,3,FALSE)," ")</f>
        <v xml:space="preserve"> </v>
      </c>
      <c r="K227" s="37" t="str">
        <f t="shared" si="73"/>
        <v xml:space="preserve"> </v>
      </c>
      <c r="P227" s="45">
        <f t="shared" si="74"/>
        <v>1</v>
      </c>
      <c r="Q227" s="45" t="e" cm="1">
        <f t="array" ref="Q227">_xlfn.IFS(D227=30,0.87,D227=45,0.7,D227=60,0.5)</f>
        <v>#N/A</v>
      </c>
      <c r="R227" s="45">
        <f t="shared" si="75"/>
        <v>0</v>
      </c>
    </row>
    <row r="228" spans="1:22" ht="15" customHeight="1" x14ac:dyDescent="0.25">
      <c r="A228" s="237"/>
      <c r="B228" s="20" t="s">
        <v>203</v>
      </c>
      <c r="C228" s="19"/>
      <c r="D228" s="17"/>
      <c r="E228" s="16"/>
      <c r="F228" s="18"/>
      <c r="G228" s="18"/>
      <c r="H228" s="37" t="str">
        <f>IFERROR(VLOOKUP(F228,'Product Spec'!B:D,2,FALSE)," ")</f>
        <v xml:space="preserve"> </v>
      </c>
      <c r="I228" s="37" t="str">
        <f t="shared" si="72"/>
        <v xml:space="preserve"> </v>
      </c>
      <c r="J228" s="37" t="str">
        <f>IFERROR(VLOOKUP(F228,'Product Spec'!B:D,3,FALSE)," ")</f>
        <v xml:space="preserve"> </v>
      </c>
      <c r="K228" s="37" t="str">
        <f t="shared" si="73"/>
        <v xml:space="preserve"> </v>
      </c>
      <c r="P228" s="45">
        <f t="shared" si="74"/>
        <v>1</v>
      </c>
      <c r="Q228" s="45" t="e" cm="1">
        <f t="array" ref="Q228">_xlfn.IFS(D228=30,0.87,D228=45,0.7,D228=60,0.5)</f>
        <v>#N/A</v>
      </c>
      <c r="R228" s="45">
        <f t="shared" si="75"/>
        <v>0</v>
      </c>
    </row>
    <row r="229" spans="1:22" ht="15" customHeight="1" x14ac:dyDescent="0.25">
      <c r="A229" s="237"/>
      <c r="B229" s="20" t="s">
        <v>204</v>
      </c>
      <c r="C229" s="19"/>
      <c r="D229" s="17"/>
      <c r="E229" s="16"/>
      <c r="F229" s="18"/>
      <c r="G229" s="18"/>
      <c r="H229" s="37" t="str">
        <f>IFERROR(VLOOKUP(F229,'Product Spec'!B:D,2,FALSE)," ")</f>
        <v xml:space="preserve"> </v>
      </c>
      <c r="I229" s="37" t="str">
        <f t="shared" si="72"/>
        <v xml:space="preserve"> </v>
      </c>
      <c r="J229" s="37" t="str">
        <f>IFERROR(VLOOKUP(F229,'Product Spec'!B:D,3,FALSE)," ")</f>
        <v xml:space="preserve"> </v>
      </c>
      <c r="K229" s="37" t="str">
        <f t="shared" si="73"/>
        <v xml:space="preserve"> </v>
      </c>
      <c r="P229" s="45">
        <f t="shared" si="74"/>
        <v>1</v>
      </c>
      <c r="Q229" s="45" t="e" cm="1">
        <f t="array" ref="Q229">_xlfn.IFS(D229=30,0.87,D229=45,0.7,D229=60,0.5)</f>
        <v>#N/A</v>
      </c>
      <c r="R229" s="45">
        <f t="shared" si="75"/>
        <v>0</v>
      </c>
    </row>
    <row r="230" spans="1:22" ht="15" customHeight="1" x14ac:dyDescent="0.25">
      <c r="A230" s="237"/>
      <c r="B230" s="98" t="s">
        <v>170</v>
      </c>
      <c r="C230" s="99"/>
      <c r="D230" s="99"/>
      <c r="E230" s="99"/>
      <c r="F230" s="99"/>
      <c r="G230" s="100"/>
      <c r="H230" s="147" cm="1">
        <f t="array" ref="H230">IF(D130&lt;9,0,SUM(IFERROR(I224:I229,0)))</f>
        <v>0</v>
      </c>
      <c r="I230" s="148"/>
      <c r="J230" s="147" cm="1">
        <f t="array" ref="J230">IF(D130&lt;9,0,SUM(IFERROR(K224:K229,0)))</f>
        <v>0</v>
      </c>
      <c r="K230" s="148"/>
    </row>
    <row r="231" spans="1:22" ht="15" customHeight="1" x14ac:dyDescent="0.25">
      <c r="A231" s="35" t="s">
        <v>168</v>
      </c>
      <c r="B231" s="160"/>
      <c r="C231" s="161"/>
      <c r="D231" s="99" t="s">
        <v>166</v>
      </c>
      <c r="E231" s="99"/>
      <c r="F231" s="99"/>
      <c r="G231" s="100"/>
      <c r="H231" s="150">
        <f>MAX(100,(0.5*$D$125)/$D$130,V224)</f>
        <v>100</v>
      </c>
      <c r="I231" s="151"/>
      <c r="J231" s="150">
        <f>MAX(100,(0.5*$I$125)/$D$130,V224)</f>
        <v>100</v>
      </c>
      <c r="K231" s="151"/>
    </row>
    <row r="232" spans="1:22" ht="15" customHeight="1" x14ac:dyDescent="0.25">
      <c r="A232" s="197" t="str">
        <f>IF(OR(S224&lt;1,S225&lt;1),"Warning: Doesn’t meet the minimum BU's requirement per line."," ")</f>
        <v>Warning: Doesn’t meet the minimum BU's requirement per line.</v>
      </c>
      <c r="B232" s="154"/>
      <c r="C232" s="154"/>
      <c r="D232" s="154"/>
      <c r="E232" s="154"/>
      <c r="F232" s="154"/>
      <c r="G232" s="154"/>
      <c r="H232" s="154"/>
      <c r="I232" s="154"/>
      <c r="J232" s="154"/>
      <c r="K232" s="198"/>
    </row>
    <row r="233" spans="1:22" ht="15" customHeight="1" x14ac:dyDescent="0.25">
      <c r="A233" s="201"/>
      <c r="B233" s="157"/>
      <c r="C233" s="157"/>
      <c r="D233" s="157"/>
      <c r="E233" s="157"/>
      <c r="F233" s="157"/>
      <c r="G233" s="157"/>
      <c r="H233" s="157"/>
      <c r="I233" s="157"/>
      <c r="J233" s="157"/>
      <c r="K233" s="202"/>
    </row>
    <row r="234" spans="1:22" ht="15" customHeight="1" x14ac:dyDescent="0.25">
      <c r="A234" s="33" t="s">
        <v>83</v>
      </c>
      <c r="B234" s="33" t="s">
        <v>198</v>
      </c>
      <c r="C234" s="34" t="s">
        <v>86</v>
      </c>
      <c r="D234" s="33" t="s">
        <v>87</v>
      </c>
      <c r="E234" s="33" t="s">
        <v>111</v>
      </c>
      <c r="F234" s="33" t="s">
        <v>84</v>
      </c>
      <c r="G234" s="33" t="s">
        <v>85</v>
      </c>
      <c r="H234" s="24" t="s">
        <v>165</v>
      </c>
      <c r="I234" s="24" t="s">
        <v>169</v>
      </c>
      <c r="J234" s="24" t="s">
        <v>165</v>
      </c>
      <c r="K234" s="24" t="s">
        <v>169</v>
      </c>
      <c r="V234" s="45" t="s">
        <v>164</v>
      </c>
    </row>
    <row r="235" spans="1:22" ht="15" customHeight="1" x14ac:dyDescent="0.25">
      <c r="A235" s="237" t="s">
        <v>194</v>
      </c>
      <c r="B235" s="20" t="s">
        <v>199</v>
      </c>
      <c r="C235" s="19"/>
      <c r="D235" s="17"/>
      <c r="E235" s="16"/>
      <c r="F235" s="18"/>
      <c r="G235" s="18"/>
      <c r="H235" s="37" t="str">
        <f>IFERROR(VLOOKUP(F235,'Product Spec'!B:D,2,FALSE)," ")</f>
        <v xml:space="preserve"> </v>
      </c>
      <c r="I235" s="37" t="str">
        <f>IFERROR(C235*H235*P235*MIN(1,2.4/E235)," ")</f>
        <v xml:space="preserve"> </v>
      </c>
      <c r="J235" s="37" t="str">
        <f>IFERROR(VLOOKUP(F235,'Product Spec'!B:D,3,FALSE)," ")</f>
        <v xml:space="preserve"> </v>
      </c>
      <c r="K235" s="37" t="str">
        <f>IFERROR(C235*J235*P235*MIN(1,2.4/E235)," ")</f>
        <v xml:space="preserve"> </v>
      </c>
      <c r="P235" s="45">
        <f>IF(OR(D235=30,D235=45,D235=60),Q235,COS(R235))</f>
        <v>1</v>
      </c>
      <c r="Q235" s="45" t="e" cm="1">
        <f t="array" ref="Q235">_xlfn.IFS(D235=30,0.87,D235=45,0.7,D235=60,0.5)</f>
        <v>#N/A</v>
      </c>
      <c r="R235" s="45">
        <f>(PI()/180)*D235</f>
        <v>0</v>
      </c>
      <c r="S235" s="45">
        <f>H241/H242</f>
        <v>0</v>
      </c>
      <c r="V235" s="45">
        <f xml:space="preserve"> C242*15</f>
        <v>0</v>
      </c>
    </row>
    <row r="236" spans="1:22" ht="15" customHeight="1" x14ac:dyDescent="0.25">
      <c r="A236" s="237"/>
      <c r="B236" s="20" t="s">
        <v>200</v>
      </c>
      <c r="C236" s="19"/>
      <c r="D236" s="17"/>
      <c r="E236" s="16"/>
      <c r="F236" s="18"/>
      <c r="G236" s="18"/>
      <c r="H236" s="37" t="str">
        <f>IFERROR(VLOOKUP(F236,'Product Spec'!B:D,2,FALSE)," ")</f>
        <v xml:space="preserve"> </v>
      </c>
      <c r="I236" s="37" t="str">
        <f t="shared" ref="I236:I240" si="76">IFERROR(C236*H236*P236*MIN(1,2.4/E236)," ")</f>
        <v xml:space="preserve"> </v>
      </c>
      <c r="J236" s="37" t="str">
        <f>IFERROR(VLOOKUP(F236,'Product Spec'!B:D,3,FALSE)," ")</f>
        <v xml:space="preserve"> </v>
      </c>
      <c r="K236" s="37" t="str">
        <f t="shared" ref="K236:K240" si="77">IFERROR(C236*J236*P236*MIN(1,2.4/E236)," ")</f>
        <v xml:space="preserve"> </v>
      </c>
      <c r="P236" s="45">
        <f t="shared" ref="P236:P240" si="78">IF(OR(D236=30,D236=45,D236=60),Q236,COS(R236))</f>
        <v>1</v>
      </c>
      <c r="Q236" s="45" t="e" cm="1">
        <f t="array" ref="Q236">_xlfn.IFS(D236=30,0.87,D236=45,0.7,D236=60,0.5)</f>
        <v>#N/A</v>
      </c>
      <c r="R236" s="45">
        <f t="shared" ref="R236:R240" si="79">(PI()/180)*D236</f>
        <v>0</v>
      </c>
      <c r="S236" s="45">
        <f>J241/J242</f>
        <v>0</v>
      </c>
    </row>
    <row r="237" spans="1:22" ht="15" customHeight="1" x14ac:dyDescent="0.25">
      <c r="A237" s="237"/>
      <c r="B237" s="20" t="s">
        <v>201</v>
      </c>
      <c r="C237" s="19"/>
      <c r="D237" s="17"/>
      <c r="E237" s="16"/>
      <c r="F237" s="18"/>
      <c r="G237" s="18"/>
      <c r="H237" s="37" t="str">
        <f>IFERROR(VLOOKUP(F237,'Product Spec'!B:D,2,FALSE)," ")</f>
        <v xml:space="preserve"> </v>
      </c>
      <c r="I237" s="37" t="str">
        <f t="shared" si="76"/>
        <v xml:space="preserve"> </v>
      </c>
      <c r="J237" s="37" t="str">
        <f>IFERROR(VLOOKUP(F237,'Product Spec'!B:D,3,FALSE)," ")</f>
        <v xml:space="preserve"> </v>
      </c>
      <c r="K237" s="37" t="str">
        <f t="shared" si="77"/>
        <v xml:space="preserve"> </v>
      </c>
      <c r="P237" s="45">
        <f t="shared" si="78"/>
        <v>1</v>
      </c>
      <c r="Q237" s="45" t="e" cm="1">
        <f t="array" ref="Q237">_xlfn.IFS(D237=30,0.87,D237=45,0.7,D237=60,0.5)</f>
        <v>#N/A</v>
      </c>
      <c r="R237" s="45">
        <f t="shared" si="79"/>
        <v>0</v>
      </c>
    </row>
    <row r="238" spans="1:22" ht="15" customHeight="1" x14ac:dyDescent="0.25">
      <c r="A238" s="237"/>
      <c r="B238" s="20" t="s">
        <v>202</v>
      </c>
      <c r="C238" s="19"/>
      <c r="D238" s="17"/>
      <c r="E238" s="16"/>
      <c r="F238" s="18"/>
      <c r="G238" s="18"/>
      <c r="H238" s="37" t="str">
        <f>IFERROR(VLOOKUP(F238,'Product Spec'!B:D,2,FALSE)," ")</f>
        <v xml:space="preserve"> </v>
      </c>
      <c r="I238" s="37" t="str">
        <f t="shared" si="76"/>
        <v xml:space="preserve"> </v>
      </c>
      <c r="J238" s="37" t="str">
        <f>IFERROR(VLOOKUP(F238,'Product Spec'!B:D,3,FALSE)," ")</f>
        <v xml:space="preserve"> </v>
      </c>
      <c r="K238" s="37" t="str">
        <f t="shared" si="77"/>
        <v xml:space="preserve"> </v>
      </c>
      <c r="P238" s="45">
        <f t="shared" si="78"/>
        <v>1</v>
      </c>
      <c r="Q238" s="45" t="e" cm="1">
        <f t="array" ref="Q238">_xlfn.IFS(D238=30,0.87,D238=45,0.7,D238=60,0.5)</f>
        <v>#N/A</v>
      </c>
      <c r="R238" s="45">
        <f t="shared" si="79"/>
        <v>0</v>
      </c>
    </row>
    <row r="239" spans="1:22" ht="15" customHeight="1" x14ac:dyDescent="0.25">
      <c r="A239" s="237"/>
      <c r="B239" s="20" t="s">
        <v>203</v>
      </c>
      <c r="C239" s="19"/>
      <c r="D239" s="17"/>
      <c r="E239" s="16"/>
      <c r="F239" s="18"/>
      <c r="G239" s="18"/>
      <c r="H239" s="37" t="str">
        <f>IFERROR(VLOOKUP(F239,'Product Spec'!B:D,2,FALSE)," ")</f>
        <v xml:space="preserve"> </v>
      </c>
      <c r="I239" s="37" t="str">
        <f t="shared" si="76"/>
        <v xml:space="preserve"> </v>
      </c>
      <c r="J239" s="37" t="str">
        <f>IFERROR(VLOOKUP(F239,'Product Spec'!B:D,3,FALSE)," ")</f>
        <v xml:space="preserve"> </v>
      </c>
      <c r="K239" s="37" t="str">
        <f t="shared" si="77"/>
        <v xml:space="preserve"> </v>
      </c>
      <c r="P239" s="45">
        <f t="shared" si="78"/>
        <v>1</v>
      </c>
      <c r="Q239" s="45" t="e" cm="1">
        <f t="array" ref="Q239">_xlfn.IFS(D239=30,0.87,D239=45,0.7,D239=60,0.5)</f>
        <v>#N/A</v>
      </c>
      <c r="R239" s="45">
        <f t="shared" si="79"/>
        <v>0</v>
      </c>
    </row>
    <row r="240" spans="1:22" ht="15" customHeight="1" x14ac:dyDescent="0.25">
      <c r="A240" s="237"/>
      <c r="B240" s="20" t="s">
        <v>204</v>
      </c>
      <c r="C240" s="19"/>
      <c r="D240" s="17"/>
      <c r="E240" s="16"/>
      <c r="F240" s="18"/>
      <c r="G240" s="18"/>
      <c r="H240" s="37" t="str">
        <f>IFERROR(VLOOKUP(F240,'Product Spec'!B:D,2,FALSE)," ")</f>
        <v xml:space="preserve"> </v>
      </c>
      <c r="I240" s="37" t="str">
        <f t="shared" si="76"/>
        <v xml:space="preserve"> </v>
      </c>
      <c r="J240" s="37" t="str">
        <f>IFERROR(VLOOKUP(F240,'Product Spec'!B:D,3,FALSE)," ")</f>
        <v xml:space="preserve"> </v>
      </c>
      <c r="K240" s="37" t="str">
        <f t="shared" si="77"/>
        <v xml:space="preserve"> </v>
      </c>
      <c r="P240" s="45">
        <f t="shared" si="78"/>
        <v>1</v>
      </c>
      <c r="Q240" s="45" t="e" cm="1">
        <f t="array" ref="Q240">_xlfn.IFS(D240=30,0.87,D240=45,0.7,D240=60,0.5)</f>
        <v>#N/A</v>
      </c>
      <c r="R240" s="45">
        <f t="shared" si="79"/>
        <v>0</v>
      </c>
    </row>
    <row r="241" spans="1:11" ht="15" customHeight="1" x14ac:dyDescent="0.25">
      <c r="A241" s="237"/>
      <c r="B241" s="98" t="s">
        <v>170</v>
      </c>
      <c r="C241" s="99"/>
      <c r="D241" s="99"/>
      <c r="E241" s="99"/>
      <c r="F241" s="99"/>
      <c r="G241" s="100"/>
      <c r="H241" s="147" cm="1">
        <f t="array" ref="H241">IF(D130&lt;10,0,SUM(IFERROR(I235:I240,0)))</f>
        <v>0</v>
      </c>
      <c r="I241" s="148"/>
      <c r="J241" s="147" cm="1">
        <f t="array" ref="J241">IF(D130&lt;10,0,SUM(IFERROR(K235:K240,0)))</f>
        <v>0</v>
      </c>
      <c r="K241" s="148"/>
    </row>
    <row r="242" spans="1:11" ht="15" customHeight="1" x14ac:dyDescent="0.25">
      <c r="A242" s="35" t="s">
        <v>168</v>
      </c>
      <c r="B242" s="160"/>
      <c r="C242" s="161"/>
      <c r="D242" s="99" t="s">
        <v>166</v>
      </c>
      <c r="E242" s="99"/>
      <c r="F242" s="99"/>
      <c r="G242" s="100"/>
      <c r="H242" s="150">
        <f>MAX(100,(0.5*$D$125)/$D$130,V235)</f>
        <v>100</v>
      </c>
      <c r="I242" s="151"/>
      <c r="J242" s="150">
        <f>MAX(100,(0.5*$I$125)/$D$130,V235)</f>
        <v>100</v>
      </c>
      <c r="K242" s="151"/>
    </row>
    <row r="243" spans="1:11" ht="15" customHeight="1" x14ac:dyDescent="0.25">
      <c r="A243" s="197" t="str">
        <f>IF(OR(S235&lt;1,S236&lt;1),"Warning: Doesn’t meet the minimum BU's requirement per line."," ")</f>
        <v>Warning: Doesn’t meet the minimum BU's requirement per line.</v>
      </c>
      <c r="B243" s="154"/>
      <c r="C243" s="154"/>
      <c r="D243" s="154"/>
      <c r="E243" s="154"/>
      <c r="F243" s="154"/>
      <c r="G243" s="154"/>
      <c r="H243" s="154"/>
      <c r="I243" s="154"/>
      <c r="J243" s="154"/>
      <c r="K243" s="198"/>
    </row>
    <row r="244" spans="1:11" ht="15" customHeight="1" x14ac:dyDescent="0.25">
      <c r="A244" s="199"/>
      <c r="B244" s="192"/>
      <c r="C244" s="192"/>
      <c r="D244" s="192"/>
      <c r="E244" s="192"/>
      <c r="F244" s="192"/>
      <c r="G244" s="192"/>
      <c r="H244" s="192"/>
      <c r="I244" s="192"/>
      <c r="J244" s="192"/>
      <c r="K244" s="200"/>
    </row>
  </sheetData>
  <sheetProtection algorithmName="SHA-512" hashValue="XwhGVU8lJLf4yBDZ0uBKJwtJu9oQVqRH/hX6gO84HAbRL1nvoiSOwX8xzdIV7zcqvZX6DCF/84vPpPnyCVZg5A==" saltValue="4f6kJDCNTTFa3wRTOPey6Q==" spinCount="100000" sheet="1" objects="1" scenarios="1"/>
  <protectedRanges>
    <protectedRange sqref="D130 C136:G141 B143 C147:G152 B154 C158:G163 B165 C169:G174 B176 C180:G185 B187 C191:G196 B198 C202:G207 B209 C213:G218 B220 C224:G229 B231 C235:G240 B242" name="Range2"/>
    <protectedRange sqref="D8 C14:G19 B21 C25:G30 B32 C36:G41 B43 C47:G52 B54 C58:G63 B65 C69:G74 B76 C80:G85 B87 C91:G96 B98 C102:G107 B109 C113:G118 B120" name="Range1"/>
  </protectedRanges>
  <dataConsolidate/>
  <mergeCells count="248">
    <mergeCell ref="A4:C4"/>
    <mergeCell ref="D4:E4"/>
    <mergeCell ref="G4:H4"/>
    <mergeCell ref="I4:J4"/>
    <mergeCell ref="A5:C5"/>
    <mergeCell ref="D5:E5"/>
    <mergeCell ref="G5:H5"/>
    <mergeCell ref="I5:J5"/>
    <mergeCell ref="A1:K1"/>
    <mergeCell ref="A2:F2"/>
    <mergeCell ref="G2:K2"/>
    <mergeCell ref="A3:C3"/>
    <mergeCell ref="G3:H3"/>
    <mergeCell ref="I3:J3"/>
    <mergeCell ref="D3:E3"/>
    <mergeCell ref="A12:G12"/>
    <mergeCell ref="H12:I12"/>
    <mergeCell ref="J12:K12"/>
    <mergeCell ref="A14:A20"/>
    <mergeCell ref="H20:I20"/>
    <mergeCell ref="J20:K20"/>
    <mergeCell ref="A6:F7"/>
    <mergeCell ref="G6:K7"/>
    <mergeCell ref="A8:C10"/>
    <mergeCell ref="D8:D10"/>
    <mergeCell ref="E8:K10"/>
    <mergeCell ref="A11:K11"/>
    <mergeCell ref="B20:G20"/>
    <mergeCell ref="D21:G21"/>
    <mergeCell ref="H21:I21"/>
    <mergeCell ref="J21:K21"/>
    <mergeCell ref="A22:K22"/>
    <mergeCell ref="A23:K23"/>
    <mergeCell ref="A25:A31"/>
    <mergeCell ref="H31:I31"/>
    <mergeCell ref="J31:K31"/>
    <mergeCell ref="B21:C21"/>
    <mergeCell ref="B31:G31"/>
    <mergeCell ref="D32:G32"/>
    <mergeCell ref="H32:I32"/>
    <mergeCell ref="J32:K32"/>
    <mergeCell ref="A33:K33"/>
    <mergeCell ref="A34:K34"/>
    <mergeCell ref="A36:A42"/>
    <mergeCell ref="H42:I42"/>
    <mergeCell ref="J42:K42"/>
    <mergeCell ref="B32:C32"/>
    <mergeCell ref="B42:G42"/>
    <mergeCell ref="D43:G43"/>
    <mergeCell ref="H43:I43"/>
    <mergeCell ref="J43:K43"/>
    <mergeCell ref="A44:K44"/>
    <mergeCell ref="A45:K45"/>
    <mergeCell ref="A47:A53"/>
    <mergeCell ref="H53:I53"/>
    <mergeCell ref="J53:K53"/>
    <mergeCell ref="B43:C43"/>
    <mergeCell ref="B53:G53"/>
    <mergeCell ref="D54:G54"/>
    <mergeCell ref="H54:I54"/>
    <mergeCell ref="J54:K54"/>
    <mergeCell ref="A55:K55"/>
    <mergeCell ref="A56:K56"/>
    <mergeCell ref="A58:A64"/>
    <mergeCell ref="H64:I64"/>
    <mergeCell ref="J64:K64"/>
    <mergeCell ref="B54:C54"/>
    <mergeCell ref="B64:G64"/>
    <mergeCell ref="D65:G65"/>
    <mergeCell ref="H65:I65"/>
    <mergeCell ref="J65:K65"/>
    <mergeCell ref="A66:K66"/>
    <mergeCell ref="A67:K67"/>
    <mergeCell ref="A69:A75"/>
    <mergeCell ref="H75:I75"/>
    <mergeCell ref="J75:K75"/>
    <mergeCell ref="B65:C65"/>
    <mergeCell ref="B75:G75"/>
    <mergeCell ref="D76:G76"/>
    <mergeCell ref="H76:I76"/>
    <mergeCell ref="J76:K76"/>
    <mergeCell ref="A77:K77"/>
    <mergeCell ref="A78:K78"/>
    <mergeCell ref="A80:A86"/>
    <mergeCell ref="H86:I86"/>
    <mergeCell ref="J86:K86"/>
    <mergeCell ref="B76:C76"/>
    <mergeCell ref="B86:G86"/>
    <mergeCell ref="A100:K100"/>
    <mergeCell ref="A102:A108"/>
    <mergeCell ref="H108:I108"/>
    <mergeCell ref="J108:K108"/>
    <mergeCell ref="B98:C98"/>
    <mergeCell ref="B108:G108"/>
    <mergeCell ref="D87:G87"/>
    <mergeCell ref="H87:I87"/>
    <mergeCell ref="J87:K87"/>
    <mergeCell ref="A88:K88"/>
    <mergeCell ref="A89:K89"/>
    <mergeCell ref="A91:A97"/>
    <mergeCell ref="H97:I97"/>
    <mergeCell ref="J97:K97"/>
    <mergeCell ref="B87:C87"/>
    <mergeCell ref="B97:G97"/>
    <mergeCell ref="D98:G98"/>
    <mergeCell ref="H98:I98"/>
    <mergeCell ref="J98:K98"/>
    <mergeCell ref="A99:K99"/>
    <mergeCell ref="D120:G120"/>
    <mergeCell ref="H120:I120"/>
    <mergeCell ref="J120:K120"/>
    <mergeCell ref="A121:K121"/>
    <mergeCell ref="A122:K122"/>
    <mergeCell ref="A123:K123"/>
    <mergeCell ref="D109:G109"/>
    <mergeCell ref="H109:I109"/>
    <mergeCell ref="J109:K109"/>
    <mergeCell ref="A110:K110"/>
    <mergeCell ref="A111:K111"/>
    <mergeCell ref="A113:A119"/>
    <mergeCell ref="H119:I119"/>
    <mergeCell ref="J119:K119"/>
    <mergeCell ref="B109:C109"/>
    <mergeCell ref="B119:G119"/>
    <mergeCell ref="B120:C120"/>
    <mergeCell ref="A126:C126"/>
    <mergeCell ref="D126:E126"/>
    <mergeCell ref="G126:H126"/>
    <mergeCell ref="I126:J126"/>
    <mergeCell ref="A127:C127"/>
    <mergeCell ref="D127:E127"/>
    <mergeCell ref="G127:H127"/>
    <mergeCell ref="I127:J127"/>
    <mergeCell ref="A124:F124"/>
    <mergeCell ref="G124:K124"/>
    <mergeCell ref="A125:C125"/>
    <mergeCell ref="D125:E125"/>
    <mergeCell ref="G125:H125"/>
    <mergeCell ref="I125:J125"/>
    <mergeCell ref="A134:G134"/>
    <mergeCell ref="H134:I134"/>
    <mergeCell ref="J134:K134"/>
    <mergeCell ref="A136:A142"/>
    <mergeCell ref="H142:I142"/>
    <mergeCell ref="J142:K142"/>
    <mergeCell ref="A128:F129"/>
    <mergeCell ref="G128:K129"/>
    <mergeCell ref="A130:C132"/>
    <mergeCell ref="D130:D132"/>
    <mergeCell ref="E130:K132"/>
    <mergeCell ref="A133:K133"/>
    <mergeCell ref="B142:G142"/>
    <mergeCell ref="D143:G143"/>
    <mergeCell ref="H143:I143"/>
    <mergeCell ref="J143:K143"/>
    <mergeCell ref="A144:K144"/>
    <mergeCell ref="A145:K145"/>
    <mergeCell ref="A147:A153"/>
    <mergeCell ref="H153:I153"/>
    <mergeCell ref="J153:K153"/>
    <mergeCell ref="B143:C143"/>
    <mergeCell ref="B153:G153"/>
    <mergeCell ref="D154:G154"/>
    <mergeCell ref="H154:I154"/>
    <mergeCell ref="J154:K154"/>
    <mergeCell ref="A155:K155"/>
    <mergeCell ref="A156:K156"/>
    <mergeCell ref="A158:A164"/>
    <mergeCell ref="H164:I164"/>
    <mergeCell ref="J164:K164"/>
    <mergeCell ref="B154:C154"/>
    <mergeCell ref="B164:G164"/>
    <mergeCell ref="D165:G165"/>
    <mergeCell ref="H165:I165"/>
    <mergeCell ref="J165:K165"/>
    <mergeCell ref="A166:K166"/>
    <mergeCell ref="A167:K167"/>
    <mergeCell ref="A169:A175"/>
    <mergeCell ref="H175:I175"/>
    <mergeCell ref="J175:K175"/>
    <mergeCell ref="B165:C165"/>
    <mergeCell ref="B175:G175"/>
    <mergeCell ref="D176:G176"/>
    <mergeCell ref="H176:I176"/>
    <mergeCell ref="J176:K176"/>
    <mergeCell ref="A177:K177"/>
    <mergeCell ref="A178:K178"/>
    <mergeCell ref="A180:A186"/>
    <mergeCell ref="H186:I186"/>
    <mergeCell ref="J186:K186"/>
    <mergeCell ref="B176:C176"/>
    <mergeCell ref="B186:G186"/>
    <mergeCell ref="D187:G187"/>
    <mergeCell ref="H187:I187"/>
    <mergeCell ref="J187:K187"/>
    <mergeCell ref="A188:K188"/>
    <mergeCell ref="A189:K189"/>
    <mergeCell ref="A191:A197"/>
    <mergeCell ref="H197:I197"/>
    <mergeCell ref="J197:K197"/>
    <mergeCell ref="B187:C187"/>
    <mergeCell ref="B197:G197"/>
    <mergeCell ref="D198:G198"/>
    <mergeCell ref="H198:I198"/>
    <mergeCell ref="J198:K198"/>
    <mergeCell ref="A199:K199"/>
    <mergeCell ref="A200:K200"/>
    <mergeCell ref="A202:A208"/>
    <mergeCell ref="H208:I208"/>
    <mergeCell ref="J208:K208"/>
    <mergeCell ref="B198:C198"/>
    <mergeCell ref="B208:G208"/>
    <mergeCell ref="D209:G209"/>
    <mergeCell ref="H209:I209"/>
    <mergeCell ref="J209:K209"/>
    <mergeCell ref="A210:K210"/>
    <mergeCell ref="A211:K211"/>
    <mergeCell ref="A213:A219"/>
    <mergeCell ref="H219:I219"/>
    <mergeCell ref="J219:K219"/>
    <mergeCell ref="B209:C209"/>
    <mergeCell ref="B219:G219"/>
    <mergeCell ref="D220:G220"/>
    <mergeCell ref="H220:I220"/>
    <mergeCell ref="J220:K220"/>
    <mergeCell ref="A221:K221"/>
    <mergeCell ref="A222:K222"/>
    <mergeCell ref="A224:A230"/>
    <mergeCell ref="H230:I230"/>
    <mergeCell ref="J230:K230"/>
    <mergeCell ref="B220:C220"/>
    <mergeCell ref="B230:G230"/>
    <mergeCell ref="D242:G242"/>
    <mergeCell ref="H242:I242"/>
    <mergeCell ref="J242:K242"/>
    <mergeCell ref="A243:K243"/>
    <mergeCell ref="A244:K244"/>
    <mergeCell ref="D231:G231"/>
    <mergeCell ref="H231:I231"/>
    <mergeCell ref="J231:K231"/>
    <mergeCell ref="A232:K232"/>
    <mergeCell ref="A233:K233"/>
    <mergeCell ref="A235:A241"/>
    <mergeCell ref="H241:I241"/>
    <mergeCell ref="J241:K241"/>
    <mergeCell ref="B231:C231"/>
    <mergeCell ref="B241:G241"/>
    <mergeCell ref="B242:C242"/>
  </mergeCells>
  <conditionalFormatting sqref="A6:B6 G6">
    <cfRule type="containsText" dxfId="65" priority="201" operator="containsText" text="Fail (Not Enough BU's Achieved).">
      <formula>NOT(ISERROR(SEARCH("Fail (Not Enough BU's Achieved).",A6)))</formula>
    </cfRule>
    <cfRule type="containsText" dxfId="64" priority="202" operator="containsText" text="Pass">
      <formula>NOT(ISERROR(SEARCH("Pass",A6)))</formula>
    </cfRule>
  </conditionalFormatting>
  <conditionalFormatting sqref="A128:B128 G128">
    <cfRule type="containsText" dxfId="63" priority="190" operator="containsText" text="Fail (Not Enough BU's Achieved).">
      <formula>NOT(ISERROR(SEARCH("Fail (Not Enough BU's Achieved).",A128)))</formula>
    </cfRule>
    <cfRule type="containsText" dxfId="62" priority="191" operator="containsText" text="Pass">
      <formula>NOT(ISERROR(SEARCH("Pass",A128)))</formula>
    </cfRule>
  </conditionalFormatting>
  <conditionalFormatting sqref="A24:K122">
    <cfRule type="expression" dxfId="61" priority="99">
      <formula>$D$8=1</formula>
    </cfRule>
  </conditionalFormatting>
  <conditionalFormatting sqref="A35:K122">
    <cfRule type="expression" dxfId="60" priority="98">
      <formula>$D$8=2</formula>
    </cfRule>
  </conditionalFormatting>
  <conditionalFormatting sqref="A46:K122">
    <cfRule type="expression" dxfId="59" priority="97">
      <formula>$D$8=3</formula>
    </cfRule>
  </conditionalFormatting>
  <conditionalFormatting sqref="A57:K122">
    <cfRule type="expression" dxfId="58" priority="96">
      <formula>$D$8=4</formula>
    </cfRule>
  </conditionalFormatting>
  <conditionalFormatting sqref="A68:K122">
    <cfRule type="expression" dxfId="57" priority="95">
      <formula>$D$8=5</formula>
    </cfRule>
  </conditionalFormatting>
  <conditionalFormatting sqref="A79:K122">
    <cfRule type="expression" dxfId="56" priority="94">
      <formula>$D$8=6</formula>
    </cfRule>
  </conditionalFormatting>
  <conditionalFormatting sqref="A90:K122">
    <cfRule type="expression" dxfId="55" priority="93">
      <formula>$D$8=7</formula>
    </cfRule>
  </conditionalFormatting>
  <conditionalFormatting sqref="A101:K122">
    <cfRule type="expression" dxfId="54" priority="92">
      <formula>$D$8=8</formula>
    </cfRule>
  </conditionalFormatting>
  <conditionalFormatting sqref="A112:K122">
    <cfRule type="expression" dxfId="53" priority="91">
      <formula>$D$8=9</formula>
    </cfRule>
  </conditionalFormatting>
  <conditionalFormatting sqref="A146:K244">
    <cfRule type="expression" dxfId="52" priority="9">
      <formula>$D$130=1</formula>
    </cfRule>
  </conditionalFormatting>
  <conditionalFormatting sqref="A157:K244">
    <cfRule type="expression" dxfId="51" priority="8">
      <formula>$D$130=2</formula>
    </cfRule>
  </conditionalFormatting>
  <conditionalFormatting sqref="A168:K244">
    <cfRule type="expression" dxfId="50" priority="7">
      <formula>$D$130=3</formula>
    </cfRule>
  </conditionalFormatting>
  <conditionalFormatting sqref="A179:K244">
    <cfRule type="expression" dxfId="49" priority="6">
      <formula>$D$130=4</formula>
    </cfRule>
  </conditionalFormatting>
  <conditionalFormatting sqref="A190:K244">
    <cfRule type="expression" dxfId="48" priority="5">
      <formula>$D$130=5</formula>
    </cfRule>
  </conditionalFormatting>
  <conditionalFormatting sqref="A201:K244">
    <cfRule type="expression" dxfId="47" priority="4">
      <formula>$D$130=6</formula>
    </cfRule>
  </conditionalFormatting>
  <conditionalFormatting sqref="A212:K244">
    <cfRule type="expression" dxfId="46" priority="3">
      <formula>$D$130=7</formula>
    </cfRule>
  </conditionalFormatting>
  <conditionalFormatting sqref="A223:K244">
    <cfRule type="expression" dxfId="45" priority="2">
      <formula>$D$130=8</formula>
    </cfRule>
  </conditionalFormatting>
  <conditionalFormatting sqref="A234:K244">
    <cfRule type="expression" dxfId="44" priority="1">
      <formula>$D$130=9</formula>
    </cfRule>
  </conditionalFormatting>
  <dataValidations count="2">
    <dataValidation type="whole" operator="lessThan" allowBlank="1" showInputMessage="1" showErrorMessage="1" error="Angles must less than 90 degree" sqref="D14:D19 D91:D96 D224:D229 D25:D30 D36:D41 D47:D52 D58:D63 D69:D74 D80:D85 D102:D107 D136:D141 D213:D218 D113:D118 D147:D152 D158:D163 D169:D174 D180:D185 D191:D196 D202:D207 D235:D240" xr:uid="{7E131E82-76DE-4AAA-9754-2CF17B9EBCC9}">
      <formula1>90</formula1>
    </dataValidation>
    <dataValidation type="whole" operator="lessThanOrEqual" allowBlank="1" showInputMessage="1" showErrorMessage="1" error="Maximum 10 bracing lines" sqref="D8 D130" xr:uid="{279B9413-26B8-48D2-AEDC-F7ABF5E81744}">
      <formula1>10</formula1>
    </dataValidation>
  </dataValidations>
  <printOptions horizontalCentered="1" verticalCentered="1"/>
  <pageMargins left="0.70866141732283472" right="0.70866141732283472" top="0.74803149606299213" bottom="0.74803149606299213" header="0.31496062992125984" footer="0.31496062992125984"/>
  <pageSetup paperSize="9" scale="39" fitToWidth="2" fitToHeight="2" orientation="portrait" r:id="rId1"/>
  <ignoredErrors>
    <ignoredError sqref="B14:B19 B25:B30 B36:B41 B47:B52 B58:B63 B69:B74 B80:B85 B91:B96 B102:B107 B113:B118 B136:B141 B147:B152 B158:B163 B169:B174 B180:B185 B191:B196 B202:B207 B213:B218 B224:B229 B235:B240"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51365C59-B999-4DE0-AFFE-037567ACAFD0}">
          <x14:formula1>
            <xm:f>'Product Spec'!$B:$B</xm:f>
          </x14:formula1>
          <xm:sqref>F91:F96 F224:F229 F14:F19 F25:F30 F36:F41 F47:F52 F58:F63 F69:F74 F80:F85 F102:F107 F213:F218 F113:F118 F136:F141 F147:F152 F158:F163 F169:F174 F180:F185 F191:F196 F202:F207 F235:F240</xm:sqref>
        </x14:dataValidation>
        <x14:dataValidation type="list" allowBlank="1" showInputMessage="1" showErrorMessage="1" xr:uid="{7FC0F4A7-47A6-46B2-8234-327004074476}">
          <x14:formula1>
            <xm:f>'Product Spec'!$J:$J</xm:f>
          </x14:formula1>
          <xm:sqref>G14 G15 G16 G17 G18 G19 G25 G26 G27 G28 G29 G30 G36 G38 G37 G39 G40 G41 G47 G48 G49 G50 G51 G52 G58 G59 G60 G61 G62 G63 G69 G70 G71 G72 G73 G74 G80 G81 G82 G83 G84 G85 G91 G92 G93 G94 G95 G96 G102 G103 G105 G104 G106 G107 G113 G114 G115 G117 G116 G118 G136 G137 G138 G139 G140 G141 G147 G148 G149 G150 G151 G152 G158 G159 G160 G161 G163 G162 G169 G170 G172 G171 G173 G174 G180 G181 G182 G183 G184 G185 G191 G193 G192 G194 G195 G196 G202 G203 G204 G205 G206 G207 G213 G214 G215 G216 G217 G218 G224 G225 G226 G227 G228 G229 G235 G236 G238 G237 G239 G240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1037C-EF43-4DF0-8F98-F3CC0FDAFC78}">
  <dimension ref="A1:AB244"/>
  <sheetViews>
    <sheetView topLeftCell="A226" zoomScaleNormal="100" zoomScaleSheetLayoutView="100" workbookViewId="0">
      <selection activeCell="H161" sqref="H161"/>
    </sheetView>
  </sheetViews>
  <sheetFormatPr defaultColWidth="0" defaultRowHeight="15" customHeight="1" zeroHeight="1" x14ac:dyDescent="0.25"/>
  <cols>
    <col min="1" max="1" width="20.7109375" style="8" customWidth="1"/>
    <col min="2" max="2" width="4.7109375" style="8" customWidth="1"/>
    <col min="3" max="6" width="20.7109375" style="8" customWidth="1"/>
    <col min="7" max="7" width="25.7109375" style="8" customWidth="1"/>
    <col min="8" max="11" width="20.7109375" style="8" customWidth="1"/>
    <col min="12" max="12" width="1" style="45" customWidth="1"/>
    <col min="13" max="17" width="9.140625" style="8" hidden="1" customWidth="1"/>
    <col min="18" max="27" width="15.7109375" style="8" hidden="1" customWidth="1"/>
    <col min="28" max="28" width="9.140625" style="8" hidden="1" customWidth="1"/>
    <col min="29" max="16384" width="0" style="8" hidden="1"/>
  </cols>
  <sheetData>
    <row r="1" spans="1:28" ht="50.1" customHeight="1" x14ac:dyDescent="0.25">
      <c r="A1" s="173" t="s">
        <v>176</v>
      </c>
      <c r="B1" s="174"/>
      <c r="C1" s="174"/>
      <c r="D1" s="174"/>
      <c r="E1" s="174"/>
      <c r="F1" s="174"/>
      <c r="G1" s="174"/>
      <c r="H1" s="174"/>
      <c r="I1" s="174"/>
      <c r="J1" s="174"/>
      <c r="K1" s="175"/>
      <c r="L1" s="46"/>
      <c r="T1" s="9" t="e" cm="1">
        <f t="array" ref="T1:V1">'Bracing demand'!F42:H42</f>
        <v>#N/A</v>
      </c>
      <c r="U1" s="8">
        <v>0</v>
      </c>
      <c r="V1" s="8">
        <v>0</v>
      </c>
      <c r="X1" s="9" t="e" cm="1">
        <f t="array" ref="X1:Z1">'Bracing demand'!C42:E42</f>
        <v>#N/A</v>
      </c>
      <c r="Y1" s="8">
        <v>0</v>
      </c>
      <c r="Z1" s="8">
        <v>0</v>
      </c>
    </row>
    <row r="2" spans="1:28" ht="26.25" customHeight="1" x14ac:dyDescent="0.25">
      <c r="A2" s="176" t="s">
        <v>103</v>
      </c>
      <c r="B2" s="177"/>
      <c r="C2" s="177"/>
      <c r="D2" s="177"/>
      <c r="E2" s="177"/>
      <c r="F2" s="177"/>
      <c r="G2" s="177" t="s">
        <v>104</v>
      </c>
      <c r="H2" s="177"/>
      <c r="I2" s="177"/>
      <c r="J2" s="177"/>
      <c r="K2" s="178"/>
      <c r="L2" s="46"/>
      <c r="T2" s="9" cm="1">
        <f t="array" ref="T2:V2">'Bracing demand'!C51:E51</f>
        <v>1992</v>
      </c>
      <c r="U2" s="8">
        <v>0</v>
      </c>
      <c r="V2" s="8">
        <v>0</v>
      </c>
      <c r="X2" s="9" cm="1">
        <f t="array" ref="X2:Z2">'Bracing demand'!C51:E51</f>
        <v>1992</v>
      </c>
      <c r="Y2" s="8">
        <v>0</v>
      </c>
      <c r="Z2" s="8">
        <v>0</v>
      </c>
    </row>
    <row r="3" spans="1:28" ht="26.25" x14ac:dyDescent="0.25">
      <c r="A3" s="165" t="s">
        <v>108</v>
      </c>
      <c r="B3" s="166"/>
      <c r="C3" s="166"/>
      <c r="D3" s="133" t="e">
        <f>IF('Bracing demand'!$DU$1=1,"#N/A",$X$1)</f>
        <v>#N/A</v>
      </c>
      <c r="E3" s="133"/>
      <c r="F3" s="33" t="s">
        <v>106</v>
      </c>
      <c r="G3" s="168" t="s">
        <v>108</v>
      </c>
      <c r="H3" s="168"/>
      <c r="I3" s="133">
        <f>IF('Bracing demand'!$DU$1=1,"#N/A",$T$2)</f>
        <v>1992</v>
      </c>
      <c r="J3" s="133"/>
      <c r="K3" s="40" t="s">
        <v>106</v>
      </c>
      <c r="L3" s="46"/>
      <c r="P3" s="10"/>
    </row>
    <row r="4" spans="1:28" ht="26.25" x14ac:dyDescent="0.25">
      <c r="A4" s="165" t="s">
        <v>109</v>
      </c>
      <c r="B4" s="166"/>
      <c r="C4" s="166"/>
      <c r="D4" s="167">
        <f>ROUND(SUM(H20,H31,H42,H53,H64,H75,H86,H97,H108,H119),0)</f>
        <v>0</v>
      </c>
      <c r="E4" s="167"/>
      <c r="F4" s="33" t="s">
        <v>106</v>
      </c>
      <c r="G4" s="168" t="s">
        <v>109</v>
      </c>
      <c r="H4" s="168"/>
      <c r="I4" s="167">
        <f>ROUND(SUM(J20,J31,J42,J53,J64,J75,J86,J97,J108,J119),0)</f>
        <v>0</v>
      </c>
      <c r="J4" s="167"/>
      <c r="K4" s="40" t="s">
        <v>106</v>
      </c>
      <c r="L4" s="46"/>
    </row>
    <row r="5" spans="1:28" ht="26.25" x14ac:dyDescent="0.25">
      <c r="A5" s="165" t="s">
        <v>110</v>
      </c>
      <c r="B5" s="166"/>
      <c r="C5" s="166"/>
      <c r="D5" s="167" t="e">
        <f>(D4/D125)*100</f>
        <v>#N/A</v>
      </c>
      <c r="E5" s="167"/>
      <c r="F5" s="33" t="s">
        <v>105</v>
      </c>
      <c r="G5" s="168" t="s">
        <v>110</v>
      </c>
      <c r="H5" s="168"/>
      <c r="I5" s="167">
        <f>(I4/I3)*100</f>
        <v>0</v>
      </c>
      <c r="J5" s="167"/>
      <c r="K5" s="40" t="s">
        <v>105</v>
      </c>
      <c r="L5" s="46"/>
      <c r="AA5" s="8" t="s">
        <v>103</v>
      </c>
      <c r="AB5" s="8" t="s">
        <v>131</v>
      </c>
    </row>
    <row r="6" spans="1:28" ht="24.95" customHeight="1" x14ac:dyDescent="0.25">
      <c r="A6" s="159" t="e">
        <f>IF(D5&gt;=100,"Pass","Fail (Not Enough BU's Achieved).")</f>
        <v>#N/A</v>
      </c>
      <c r="B6" s="97"/>
      <c r="C6" s="97"/>
      <c r="D6" s="97"/>
      <c r="E6" s="97"/>
      <c r="F6" s="97"/>
      <c r="G6" s="97" t="str">
        <f>IF(I5&gt;=100,"Pass","Fail (Not Enough BU's Achieved).")</f>
        <v>Fail (Not Enough BU's Achieved).</v>
      </c>
      <c r="H6" s="97"/>
      <c r="I6" s="97"/>
      <c r="J6" s="97"/>
      <c r="K6" s="169"/>
      <c r="L6" s="46"/>
    </row>
    <row r="7" spans="1:28" ht="24.95" customHeight="1" x14ac:dyDescent="0.25">
      <c r="A7" s="159"/>
      <c r="B7" s="97"/>
      <c r="C7" s="97"/>
      <c r="D7" s="97"/>
      <c r="E7" s="97"/>
      <c r="F7" s="97"/>
      <c r="G7" s="97"/>
      <c r="H7" s="97"/>
      <c r="I7" s="97"/>
      <c r="J7" s="97"/>
      <c r="K7" s="169"/>
      <c r="L7" s="46"/>
    </row>
    <row r="8" spans="1:28" ht="9.9499999999999993" customHeight="1" x14ac:dyDescent="0.25">
      <c r="A8" s="185" t="s">
        <v>107</v>
      </c>
      <c r="B8" s="186"/>
      <c r="C8" s="186"/>
      <c r="D8" s="187">
        <v>10</v>
      </c>
      <c r="E8" s="102" t="s">
        <v>167</v>
      </c>
      <c r="F8" s="102"/>
      <c r="G8" s="102"/>
      <c r="H8" s="102"/>
      <c r="I8" s="102"/>
      <c r="J8" s="102"/>
      <c r="K8" s="188"/>
      <c r="L8" s="46"/>
    </row>
    <row r="9" spans="1:28" ht="9.9499999999999993" customHeight="1" x14ac:dyDescent="0.25">
      <c r="A9" s="185"/>
      <c r="B9" s="186"/>
      <c r="C9" s="186"/>
      <c r="D9" s="187"/>
      <c r="E9" s="102"/>
      <c r="F9" s="102"/>
      <c r="G9" s="102"/>
      <c r="H9" s="102"/>
      <c r="I9" s="102"/>
      <c r="J9" s="102"/>
      <c r="K9" s="188"/>
      <c r="L9" s="46"/>
    </row>
    <row r="10" spans="1:28" ht="9.9499999999999993" customHeight="1" x14ac:dyDescent="0.25">
      <c r="A10" s="185"/>
      <c r="B10" s="186"/>
      <c r="C10" s="186"/>
      <c r="D10" s="187"/>
      <c r="E10" s="102"/>
      <c r="F10" s="102"/>
      <c r="G10" s="102"/>
      <c r="H10" s="102"/>
      <c r="I10" s="102"/>
      <c r="J10" s="102"/>
      <c r="K10" s="188"/>
      <c r="L10" s="46"/>
    </row>
    <row r="11" spans="1:28" ht="15" customHeight="1" x14ac:dyDescent="0.25">
      <c r="A11" s="191"/>
      <c r="B11" s="192"/>
      <c r="C11" s="192"/>
      <c r="D11" s="192"/>
      <c r="E11" s="192"/>
      <c r="F11" s="192"/>
      <c r="G11" s="192"/>
      <c r="H11" s="192"/>
      <c r="I11" s="192"/>
      <c r="J11" s="192"/>
      <c r="K11" s="193"/>
    </row>
    <row r="12" spans="1:28" ht="15" customHeight="1" x14ac:dyDescent="0.25">
      <c r="A12" s="189"/>
      <c r="B12" s="131"/>
      <c r="C12" s="131"/>
      <c r="D12" s="131"/>
      <c r="E12" s="131"/>
      <c r="F12" s="131"/>
      <c r="G12" s="132"/>
      <c r="H12" s="109" t="s">
        <v>103</v>
      </c>
      <c r="I12" s="111"/>
      <c r="J12" s="109" t="s">
        <v>104</v>
      </c>
      <c r="K12" s="190"/>
    </row>
    <row r="13" spans="1:28" ht="15" customHeight="1" x14ac:dyDescent="0.25">
      <c r="A13" s="42" t="s">
        <v>83</v>
      </c>
      <c r="B13" s="33" t="s">
        <v>198</v>
      </c>
      <c r="C13" s="34" t="s">
        <v>86</v>
      </c>
      <c r="D13" s="33" t="s">
        <v>87</v>
      </c>
      <c r="E13" s="33" t="s">
        <v>111</v>
      </c>
      <c r="F13" s="33" t="s">
        <v>84</v>
      </c>
      <c r="G13" s="33" t="s">
        <v>85</v>
      </c>
      <c r="H13" s="24" t="s">
        <v>165</v>
      </c>
      <c r="I13" s="24" t="s">
        <v>169</v>
      </c>
      <c r="J13" s="24" t="s">
        <v>165</v>
      </c>
      <c r="K13" s="41" t="s">
        <v>169</v>
      </c>
      <c r="V13" s="8" t="s">
        <v>164</v>
      </c>
    </row>
    <row r="14" spans="1:28" ht="15" customHeight="1" x14ac:dyDescent="0.25">
      <c r="A14" s="236" t="s">
        <v>13</v>
      </c>
      <c r="B14" s="20" t="s">
        <v>199</v>
      </c>
      <c r="C14" s="19"/>
      <c r="D14" s="17"/>
      <c r="E14" s="16"/>
      <c r="F14" s="18"/>
      <c r="G14" s="18"/>
      <c r="H14" s="37" t="str">
        <f>IFERROR(VLOOKUP(F14,'Product Spec'!B:D,2,FALSE)," ")</f>
        <v xml:space="preserve"> </v>
      </c>
      <c r="I14" s="37" t="str">
        <f>IFERROR(C14*H14*P14*MIN(1,2.4/E14)," ")</f>
        <v xml:space="preserve"> </v>
      </c>
      <c r="J14" s="37" t="str">
        <f>IFERROR(VLOOKUP(F14,'Product Spec'!B:D,3,FALSE)," ")</f>
        <v xml:space="preserve"> </v>
      </c>
      <c r="K14" s="43" t="str">
        <f>IFERROR(C14*J14*P14*MIN(1,2.4/E14)," ")</f>
        <v xml:space="preserve"> </v>
      </c>
      <c r="P14" s="8">
        <f>IF(OR(D14=30,D14=45,D14=60),Q14,COS(R14))</f>
        <v>1</v>
      </c>
      <c r="Q14" s="8" t="e" cm="1">
        <f t="array" ref="Q14">_xlfn.IFS(D14=30,0.87,D14=45,0.7,D14=60,0.5)</f>
        <v>#N/A</v>
      </c>
      <c r="R14" s="8">
        <f>(PI()/180)*D14</f>
        <v>0</v>
      </c>
      <c r="S14" s="8" t="e">
        <f>H20/H21</f>
        <v>#N/A</v>
      </c>
      <c r="V14" s="8">
        <f xml:space="preserve"> C21*15</f>
        <v>0</v>
      </c>
    </row>
    <row r="15" spans="1:28" ht="15" customHeight="1" x14ac:dyDescent="0.25">
      <c r="A15" s="236"/>
      <c r="B15" s="20" t="s">
        <v>200</v>
      </c>
      <c r="C15" s="19"/>
      <c r="D15" s="17"/>
      <c r="E15" s="16"/>
      <c r="F15" s="18"/>
      <c r="G15" s="18"/>
      <c r="H15" s="37" t="str">
        <f>IFERROR(VLOOKUP(F15,'Product Spec'!B:D,2,FALSE)," ")</f>
        <v xml:space="preserve"> </v>
      </c>
      <c r="I15" s="37" t="str">
        <f t="shared" ref="I15:I19" si="0">IFERROR(C15*H15*P15*MIN(1,2.4/E15)," ")</f>
        <v xml:space="preserve"> </v>
      </c>
      <c r="J15" s="37" t="str">
        <f>IFERROR(VLOOKUP(F15,'Product Spec'!B:D,3,FALSE)," ")</f>
        <v xml:space="preserve"> </v>
      </c>
      <c r="K15" s="43" t="str">
        <f t="shared" ref="K15:K19" si="1">IFERROR(C15*J15*P15*MIN(1,2.4/E15)," ")</f>
        <v xml:space="preserve"> </v>
      </c>
      <c r="P15" s="8">
        <f t="shared" ref="P15:P19" si="2">IF(OR(D15=30,D15=45,D15=60),Q15,COS(R15))</f>
        <v>1</v>
      </c>
      <c r="Q15" s="8" t="e" cm="1">
        <f t="array" ref="Q15">_xlfn.IFS(D15=30,0.87,D15=45,0.7,D15=60,0.5)</f>
        <v>#N/A</v>
      </c>
      <c r="R15" s="8">
        <f t="shared" ref="R15:R19" si="3">(PI()/180)*D15</f>
        <v>0</v>
      </c>
      <c r="S15" s="8">
        <f>J20/J21</f>
        <v>0</v>
      </c>
    </row>
    <row r="16" spans="1:28" ht="15" customHeight="1" x14ac:dyDescent="0.25">
      <c r="A16" s="236"/>
      <c r="B16" s="20" t="s">
        <v>201</v>
      </c>
      <c r="C16" s="19"/>
      <c r="D16" s="17"/>
      <c r="E16" s="16"/>
      <c r="F16" s="18"/>
      <c r="G16" s="18"/>
      <c r="H16" s="37" t="str">
        <f>IFERROR(VLOOKUP(F16,'Product Spec'!B:D,2,FALSE)," ")</f>
        <v xml:space="preserve"> </v>
      </c>
      <c r="I16" s="37" t="str">
        <f t="shared" si="0"/>
        <v xml:space="preserve"> </v>
      </c>
      <c r="J16" s="37" t="str">
        <f>IFERROR(VLOOKUP(F16,'Product Spec'!B:D,3,FALSE)," ")</f>
        <v xml:space="preserve"> </v>
      </c>
      <c r="K16" s="43" t="str">
        <f t="shared" si="1"/>
        <v xml:space="preserve"> </v>
      </c>
      <c r="P16" s="8">
        <f t="shared" si="2"/>
        <v>1</v>
      </c>
      <c r="Q16" s="8" t="e" cm="1">
        <f t="array" ref="Q16">_xlfn.IFS(D16=30,0.87,D16=45,0.7,D16=60,0.5)</f>
        <v>#N/A</v>
      </c>
      <c r="R16" s="8">
        <f t="shared" si="3"/>
        <v>0</v>
      </c>
    </row>
    <row r="17" spans="1:22" ht="15" customHeight="1" x14ac:dyDescent="0.25">
      <c r="A17" s="236"/>
      <c r="B17" s="20" t="s">
        <v>202</v>
      </c>
      <c r="C17" s="19"/>
      <c r="D17" s="17"/>
      <c r="E17" s="16"/>
      <c r="F17" s="18"/>
      <c r="G17" s="18"/>
      <c r="H17" s="37" t="str">
        <f>IFERROR(VLOOKUP(F17,'Product Spec'!B:D,2,FALSE)," ")</f>
        <v xml:space="preserve"> </v>
      </c>
      <c r="I17" s="37" t="str">
        <f t="shared" si="0"/>
        <v xml:space="preserve"> </v>
      </c>
      <c r="J17" s="37" t="str">
        <f>IFERROR(VLOOKUP(F17,'Product Spec'!B:D,3,FALSE)," ")</f>
        <v xml:space="preserve"> </v>
      </c>
      <c r="K17" s="43" t="str">
        <f t="shared" si="1"/>
        <v xml:space="preserve"> </v>
      </c>
      <c r="P17" s="8">
        <f t="shared" si="2"/>
        <v>1</v>
      </c>
      <c r="Q17" s="8" t="e" cm="1">
        <f t="array" ref="Q17">_xlfn.IFS(D17=30,0.87,D17=45,0.7,D17=60,0.5)</f>
        <v>#N/A</v>
      </c>
      <c r="R17" s="8">
        <f t="shared" si="3"/>
        <v>0</v>
      </c>
    </row>
    <row r="18" spans="1:22" ht="15" customHeight="1" x14ac:dyDescent="0.25">
      <c r="A18" s="236"/>
      <c r="B18" s="20" t="s">
        <v>203</v>
      </c>
      <c r="C18" s="19"/>
      <c r="D18" s="17"/>
      <c r="E18" s="16"/>
      <c r="F18" s="18"/>
      <c r="G18" s="18"/>
      <c r="H18" s="37" t="str">
        <f>IFERROR(VLOOKUP(F18,'Product Spec'!B:D,2,FALSE)," ")</f>
        <v xml:space="preserve"> </v>
      </c>
      <c r="I18" s="37" t="str">
        <f t="shared" si="0"/>
        <v xml:space="preserve"> </v>
      </c>
      <c r="J18" s="37" t="str">
        <f>IFERROR(VLOOKUP(F18,'Product Spec'!B:D,3,FALSE)," ")</f>
        <v xml:space="preserve"> </v>
      </c>
      <c r="K18" s="43" t="str">
        <f t="shared" si="1"/>
        <v xml:space="preserve"> </v>
      </c>
      <c r="P18" s="8">
        <f t="shared" si="2"/>
        <v>1</v>
      </c>
      <c r="Q18" s="8" t="e" cm="1">
        <f t="array" ref="Q18">_xlfn.IFS(D18=30,0.87,D18=45,0.7,D18=60,0.5)</f>
        <v>#N/A</v>
      </c>
      <c r="R18" s="8">
        <f t="shared" si="3"/>
        <v>0</v>
      </c>
    </row>
    <row r="19" spans="1:22" ht="15" customHeight="1" x14ac:dyDescent="0.25">
      <c r="A19" s="236"/>
      <c r="B19" s="20" t="s">
        <v>204</v>
      </c>
      <c r="C19" s="19"/>
      <c r="D19" s="17"/>
      <c r="E19" s="16"/>
      <c r="F19" s="18"/>
      <c r="G19" s="18"/>
      <c r="H19" s="37" t="str">
        <f>IFERROR(VLOOKUP(F19,'Product Spec'!B:D,2,FALSE)," ")</f>
        <v xml:space="preserve"> </v>
      </c>
      <c r="I19" s="37" t="str">
        <f t="shared" si="0"/>
        <v xml:space="preserve"> </v>
      </c>
      <c r="J19" s="37" t="str">
        <f>IFERROR(VLOOKUP(F19,'Product Spec'!B:D,3,FALSE)," ")</f>
        <v xml:space="preserve"> </v>
      </c>
      <c r="K19" s="43" t="str">
        <f t="shared" si="1"/>
        <v xml:space="preserve"> </v>
      </c>
      <c r="P19" s="8">
        <f t="shared" si="2"/>
        <v>1</v>
      </c>
      <c r="Q19" s="8" t="e" cm="1">
        <f t="array" ref="Q19">_xlfn.IFS(D19=30,0.87,D19=45,0.7,D19=60,0.5)</f>
        <v>#N/A</v>
      </c>
      <c r="R19" s="8">
        <f t="shared" si="3"/>
        <v>0</v>
      </c>
    </row>
    <row r="20" spans="1:22" ht="15" customHeight="1" x14ac:dyDescent="0.25">
      <c r="A20" s="236"/>
      <c r="B20" s="98" t="s">
        <v>170</v>
      </c>
      <c r="C20" s="99"/>
      <c r="D20" s="99"/>
      <c r="E20" s="99"/>
      <c r="F20" s="99"/>
      <c r="G20" s="100"/>
      <c r="H20" s="179" cm="1">
        <f t="array" ref="H20">SUM(IFERROR(I14:I19,0))</f>
        <v>0</v>
      </c>
      <c r="I20" s="180"/>
      <c r="J20" s="179" cm="1">
        <f t="array" ref="J20">SUM(IFERROR(K14:K19,0))</f>
        <v>0</v>
      </c>
      <c r="K20" s="181"/>
    </row>
    <row r="21" spans="1:22" ht="15" customHeight="1" x14ac:dyDescent="0.25">
      <c r="A21" s="44" t="s">
        <v>168</v>
      </c>
      <c r="B21" s="160"/>
      <c r="C21" s="161"/>
      <c r="D21" s="99" t="s">
        <v>166</v>
      </c>
      <c r="E21" s="99"/>
      <c r="F21" s="99"/>
      <c r="G21" s="100"/>
      <c r="H21" s="150" t="e">
        <f>MAX(100,(0.5*$D$3)/$D$8,V14)</f>
        <v>#N/A</v>
      </c>
      <c r="I21" s="151"/>
      <c r="J21" s="150">
        <f>MAX(100,(0.5*$I$3)/$D$8,V14)</f>
        <v>100</v>
      </c>
      <c r="K21" s="152"/>
    </row>
    <row r="22" spans="1:22" customFormat="1" ht="15" customHeight="1" x14ac:dyDescent="0.25">
      <c r="A22" s="153" t="e">
        <f>IF(OR(S14&lt;1,S15&lt;1),"Warning: Doesn’t meet the minimum BU's requirement per line."," ")</f>
        <v>#N/A</v>
      </c>
      <c r="B22" s="154"/>
      <c r="C22" s="154"/>
      <c r="D22" s="154"/>
      <c r="E22" s="154"/>
      <c r="F22" s="154"/>
      <c r="G22" s="154"/>
      <c r="H22" s="154"/>
      <c r="I22" s="154"/>
      <c r="J22" s="154"/>
      <c r="K22" s="155"/>
      <c r="L22" s="45"/>
    </row>
    <row r="23" spans="1:22" ht="15" customHeight="1" x14ac:dyDescent="0.25">
      <c r="A23" s="156"/>
      <c r="B23" s="157"/>
      <c r="C23" s="157"/>
      <c r="D23" s="157"/>
      <c r="E23" s="157"/>
      <c r="F23" s="157"/>
      <c r="G23" s="157"/>
      <c r="H23" s="157"/>
      <c r="I23" s="157"/>
      <c r="J23" s="157"/>
      <c r="K23" s="158"/>
      <c r="M23"/>
      <c r="N23"/>
      <c r="O23"/>
      <c r="P23"/>
      <c r="Q23"/>
      <c r="R23"/>
      <c r="S23"/>
      <c r="T23"/>
      <c r="U23"/>
      <c r="V23"/>
    </row>
    <row r="24" spans="1:22" ht="15" customHeight="1" x14ac:dyDescent="0.25">
      <c r="A24" s="42" t="s">
        <v>83</v>
      </c>
      <c r="B24" s="33" t="s">
        <v>198</v>
      </c>
      <c r="C24" s="34" t="s">
        <v>86</v>
      </c>
      <c r="D24" s="33" t="s">
        <v>87</v>
      </c>
      <c r="E24" s="33" t="s">
        <v>111</v>
      </c>
      <c r="F24" s="33" t="s">
        <v>84</v>
      </c>
      <c r="G24" s="33" t="s">
        <v>85</v>
      </c>
      <c r="H24" s="24" t="s">
        <v>165</v>
      </c>
      <c r="I24" s="24" t="s">
        <v>169</v>
      </c>
      <c r="J24" s="24" t="s">
        <v>165</v>
      </c>
      <c r="K24" s="41" t="s">
        <v>169</v>
      </c>
      <c r="V24" s="8" t="s">
        <v>164</v>
      </c>
    </row>
    <row r="25" spans="1:22" ht="15" customHeight="1" x14ac:dyDescent="0.25">
      <c r="A25" s="236" t="s">
        <v>39</v>
      </c>
      <c r="B25" s="20" t="s">
        <v>199</v>
      </c>
      <c r="C25" s="19"/>
      <c r="D25" s="17"/>
      <c r="E25" s="16"/>
      <c r="F25" s="18"/>
      <c r="G25" s="18"/>
      <c r="H25" s="37" t="str">
        <f>IFERROR(VLOOKUP(F25,'Product Spec'!B:D,2,FALSE)," ")</f>
        <v xml:space="preserve"> </v>
      </c>
      <c r="I25" s="37" t="str">
        <f>IFERROR(C25*H25*P25*MIN(1,2.4/E25)," ")</f>
        <v xml:space="preserve"> </v>
      </c>
      <c r="J25" s="37" t="str">
        <f>IFERROR(VLOOKUP(F25,'Product Spec'!B:D,3,FALSE)," ")</f>
        <v xml:space="preserve"> </v>
      </c>
      <c r="K25" s="43" t="str">
        <f>IFERROR(C25*J25*P25*MIN(1,2.4/E25)," ")</f>
        <v xml:space="preserve"> </v>
      </c>
      <c r="P25" s="8">
        <f>IF(OR(D25=30,D25=45,D25=60),Q25,COS(R25))</f>
        <v>1</v>
      </c>
      <c r="Q25" s="8" t="e" cm="1">
        <f t="array" ref="Q25">_xlfn.IFS(D25=30,0.87,D25=45,0.7,D25=60,0.5)</f>
        <v>#N/A</v>
      </c>
      <c r="R25" s="8">
        <f>(PI()/180)*D25</f>
        <v>0</v>
      </c>
      <c r="S25" s="8" t="e">
        <f>H31/H32</f>
        <v>#N/A</v>
      </c>
      <c r="V25" s="8">
        <f xml:space="preserve"> C32*15</f>
        <v>0</v>
      </c>
    </row>
    <row r="26" spans="1:22" ht="15" customHeight="1" x14ac:dyDescent="0.25">
      <c r="A26" s="236"/>
      <c r="B26" s="20" t="s">
        <v>200</v>
      </c>
      <c r="C26" s="19"/>
      <c r="D26" s="17"/>
      <c r="E26" s="16"/>
      <c r="F26" s="18"/>
      <c r="G26" s="18"/>
      <c r="H26" s="37" t="str">
        <f>IFERROR(VLOOKUP(F26,'Product Spec'!B:D,2,FALSE)," ")</f>
        <v xml:space="preserve"> </v>
      </c>
      <c r="I26" s="37" t="str">
        <f t="shared" ref="I26:I30" si="4">IFERROR(C26*H26*P26*MIN(1,2.4/E26)," ")</f>
        <v xml:space="preserve"> </v>
      </c>
      <c r="J26" s="37" t="str">
        <f>IFERROR(VLOOKUP(F26,'Product Spec'!B:D,3,FALSE)," ")</f>
        <v xml:space="preserve"> </v>
      </c>
      <c r="K26" s="43" t="str">
        <f t="shared" ref="K26:K30" si="5">IFERROR(C26*J26*P26*MIN(1,2.4/E26)," ")</f>
        <v xml:space="preserve"> </v>
      </c>
      <c r="P26" s="8">
        <f t="shared" ref="P26:P30" si="6">IF(OR(D26=30,D26=45,D26=60),Q26,COS(R26))</f>
        <v>1</v>
      </c>
      <c r="Q26" s="8" t="e" cm="1">
        <f t="array" ref="Q26">_xlfn.IFS(D26=30,0.87,D26=45,0.7,D26=60,0.5)</f>
        <v>#N/A</v>
      </c>
      <c r="R26" s="8">
        <f t="shared" ref="R26:R30" si="7">(PI()/180)*D26</f>
        <v>0</v>
      </c>
      <c r="S26" s="8">
        <f>J31/J32</f>
        <v>0</v>
      </c>
    </row>
    <row r="27" spans="1:22" ht="15" customHeight="1" x14ac:dyDescent="0.25">
      <c r="A27" s="236"/>
      <c r="B27" s="20" t="s">
        <v>201</v>
      </c>
      <c r="C27" s="19"/>
      <c r="D27" s="17"/>
      <c r="E27" s="16"/>
      <c r="F27" s="18"/>
      <c r="G27" s="18"/>
      <c r="H27" s="37" t="str">
        <f>IFERROR(VLOOKUP(F27,'Product Spec'!B:D,2,FALSE)," ")</f>
        <v xml:space="preserve"> </v>
      </c>
      <c r="I27" s="37" t="str">
        <f t="shared" si="4"/>
        <v xml:space="preserve"> </v>
      </c>
      <c r="J27" s="37" t="str">
        <f>IFERROR(VLOOKUP(F27,'Product Spec'!B:D,3,FALSE)," ")</f>
        <v xml:space="preserve"> </v>
      </c>
      <c r="K27" s="43" t="str">
        <f t="shared" si="5"/>
        <v xml:space="preserve"> </v>
      </c>
      <c r="P27" s="8">
        <f t="shared" si="6"/>
        <v>1</v>
      </c>
      <c r="Q27" s="8" t="e" cm="1">
        <f t="array" ref="Q27">_xlfn.IFS(D27=30,0.87,D27=45,0.7,D27=60,0.5)</f>
        <v>#N/A</v>
      </c>
      <c r="R27" s="8">
        <f t="shared" si="7"/>
        <v>0</v>
      </c>
    </row>
    <row r="28" spans="1:22" ht="15" customHeight="1" x14ac:dyDescent="0.25">
      <c r="A28" s="236"/>
      <c r="B28" s="20" t="s">
        <v>202</v>
      </c>
      <c r="C28" s="19"/>
      <c r="D28" s="17"/>
      <c r="E28" s="16"/>
      <c r="F28" s="18"/>
      <c r="G28" s="18"/>
      <c r="H28" s="37" t="str">
        <f>IFERROR(VLOOKUP(F28,'Product Spec'!B:D,2,FALSE)," ")</f>
        <v xml:space="preserve"> </v>
      </c>
      <c r="I28" s="37" t="str">
        <f t="shared" si="4"/>
        <v xml:space="preserve"> </v>
      </c>
      <c r="J28" s="37" t="str">
        <f>IFERROR(VLOOKUP(F28,'Product Spec'!B:D,3,FALSE)," ")</f>
        <v xml:space="preserve"> </v>
      </c>
      <c r="K28" s="43" t="str">
        <f t="shared" si="5"/>
        <v xml:space="preserve"> </v>
      </c>
      <c r="P28" s="8">
        <f t="shared" si="6"/>
        <v>1</v>
      </c>
      <c r="Q28" s="8" t="e" cm="1">
        <f t="array" ref="Q28">_xlfn.IFS(D28=30,0.87,D28=45,0.7,D28=60,0.5)</f>
        <v>#N/A</v>
      </c>
      <c r="R28" s="8">
        <f t="shared" si="7"/>
        <v>0</v>
      </c>
    </row>
    <row r="29" spans="1:22" ht="15" customHeight="1" x14ac:dyDescent="0.25">
      <c r="A29" s="236"/>
      <c r="B29" s="20" t="s">
        <v>203</v>
      </c>
      <c r="C29" s="19"/>
      <c r="D29" s="17"/>
      <c r="E29" s="16"/>
      <c r="F29" s="18"/>
      <c r="G29" s="18"/>
      <c r="H29" s="37" t="str">
        <f>IFERROR(VLOOKUP(F29,'Product Spec'!B:D,2,FALSE)," ")</f>
        <v xml:space="preserve"> </v>
      </c>
      <c r="I29" s="37" t="str">
        <f t="shared" si="4"/>
        <v xml:space="preserve"> </v>
      </c>
      <c r="J29" s="37" t="str">
        <f>IFERROR(VLOOKUP(F29,'Product Spec'!B:D,3,FALSE)," ")</f>
        <v xml:space="preserve"> </v>
      </c>
      <c r="K29" s="43" t="str">
        <f t="shared" si="5"/>
        <v xml:space="preserve"> </v>
      </c>
      <c r="P29" s="8">
        <f t="shared" si="6"/>
        <v>1</v>
      </c>
      <c r="Q29" s="8" t="e" cm="1">
        <f t="array" ref="Q29">_xlfn.IFS(D29=30,0.87,D29=45,0.7,D29=60,0.5)</f>
        <v>#N/A</v>
      </c>
      <c r="R29" s="8">
        <f t="shared" si="7"/>
        <v>0</v>
      </c>
    </row>
    <row r="30" spans="1:22" ht="15" customHeight="1" x14ac:dyDescent="0.25">
      <c r="A30" s="236"/>
      <c r="B30" s="20" t="s">
        <v>204</v>
      </c>
      <c r="C30" s="19"/>
      <c r="D30" s="17"/>
      <c r="E30" s="16"/>
      <c r="F30" s="18"/>
      <c r="G30" s="18"/>
      <c r="H30" s="37" t="str">
        <f>IFERROR(VLOOKUP(F30,'Product Spec'!B:D,2,FALSE)," ")</f>
        <v xml:space="preserve"> </v>
      </c>
      <c r="I30" s="37" t="str">
        <f t="shared" si="4"/>
        <v xml:space="preserve"> </v>
      </c>
      <c r="J30" s="37" t="str">
        <f>IFERROR(VLOOKUP(F30,'Product Spec'!B:D,3,FALSE)," ")</f>
        <v xml:space="preserve"> </v>
      </c>
      <c r="K30" s="43" t="str">
        <f t="shared" si="5"/>
        <v xml:space="preserve"> </v>
      </c>
      <c r="P30" s="8">
        <f t="shared" si="6"/>
        <v>1</v>
      </c>
      <c r="Q30" s="8" t="e" cm="1">
        <f t="array" ref="Q30">_xlfn.IFS(D30=30,0.87,D30=45,0.7,D30=60,0.5)</f>
        <v>#N/A</v>
      </c>
      <c r="R30" s="8">
        <f t="shared" si="7"/>
        <v>0</v>
      </c>
    </row>
    <row r="31" spans="1:22" ht="15" customHeight="1" x14ac:dyDescent="0.25">
      <c r="A31" s="236"/>
      <c r="B31" s="98" t="s">
        <v>170</v>
      </c>
      <c r="C31" s="99"/>
      <c r="D31" s="99"/>
      <c r="E31" s="99"/>
      <c r="F31" s="99"/>
      <c r="G31" s="100"/>
      <c r="H31" s="179" cm="1">
        <f t="array" ref="H31">IF(D8&lt;2,0,SUM(IFERROR(I25:I30,0)))</f>
        <v>0</v>
      </c>
      <c r="I31" s="180"/>
      <c r="J31" s="179" cm="1">
        <f t="array" ref="J31">IF(D8&lt;2,0,SUM(IFERROR(K25:K30,0)))</f>
        <v>0</v>
      </c>
      <c r="K31" s="181"/>
    </row>
    <row r="32" spans="1:22" ht="15" customHeight="1" x14ac:dyDescent="0.25">
      <c r="A32" s="44" t="s">
        <v>168</v>
      </c>
      <c r="B32" s="160"/>
      <c r="C32" s="161"/>
      <c r="D32" s="99" t="s">
        <v>166</v>
      </c>
      <c r="E32" s="99"/>
      <c r="F32" s="99"/>
      <c r="G32" s="100"/>
      <c r="H32" s="150" t="e">
        <f>MAX(100,(0.5*$D$3)/$D$8,V25)</f>
        <v>#N/A</v>
      </c>
      <c r="I32" s="151"/>
      <c r="J32" s="150">
        <f>MAX(100,(0.5*$I$3)/$D$8,V25)</f>
        <v>100</v>
      </c>
      <c r="K32" s="152"/>
    </row>
    <row r="33" spans="1:22" customFormat="1" ht="15" customHeight="1" x14ac:dyDescent="0.25">
      <c r="A33" s="153" t="e">
        <f>IF(OR(S25&lt;1,S26&lt;1),"Warning: Doesn’t meet the minimum BU's requirement per line."," ")</f>
        <v>#N/A</v>
      </c>
      <c r="B33" s="154"/>
      <c r="C33" s="154"/>
      <c r="D33" s="154"/>
      <c r="E33" s="154"/>
      <c r="F33" s="154"/>
      <c r="G33" s="154"/>
      <c r="H33" s="154"/>
      <c r="I33" s="154"/>
      <c r="J33" s="154"/>
      <c r="K33" s="155"/>
      <c r="L33" s="45"/>
    </row>
    <row r="34" spans="1:22" ht="15" customHeight="1" x14ac:dyDescent="0.25">
      <c r="A34" s="156"/>
      <c r="B34" s="157"/>
      <c r="C34" s="157"/>
      <c r="D34" s="157"/>
      <c r="E34" s="157"/>
      <c r="F34" s="157"/>
      <c r="G34" s="157"/>
      <c r="H34" s="157"/>
      <c r="I34" s="157"/>
      <c r="J34" s="157"/>
      <c r="K34" s="158"/>
      <c r="M34"/>
      <c r="N34"/>
      <c r="O34"/>
      <c r="P34"/>
      <c r="Q34"/>
      <c r="R34"/>
      <c r="S34"/>
      <c r="T34"/>
      <c r="U34"/>
      <c r="V34"/>
    </row>
    <row r="35" spans="1:22" ht="15" customHeight="1" x14ac:dyDescent="0.25">
      <c r="A35" s="42" t="s">
        <v>83</v>
      </c>
      <c r="B35" s="33" t="s">
        <v>198</v>
      </c>
      <c r="C35" s="34" t="s">
        <v>86</v>
      </c>
      <c r="D35" s="33" t="s">
        <v>87</v>
      </c>
      <c r="E35" s="33" t="s">
        <v>111</v>
      </c>
      <c r="F35" s="33" t="s">
        <v>84</v>
      </c>
      <c r="G35" s="33" t="s">
        <v>85</v>
      </c>
      <c r="H35" s="24" t="s">
        <v>165</v>
      </c>
      <c r="I35" s="24" t="s">
        <v>169</v>
      </c>
      <c r="J35" s="24" t="s">
        <v>165</v>
      </c>
      <c r="K35" s="41" t="s">
        <v>169</v>
      </c>
      <c r="V35" s="8" t="s">
        <v>164</v>
      </c>
    </row>
    <row r="36" spans="1:22" ht="15" customHeight="1" x14ac:dyDescent="0.25">
      <c r="A36" s="236" t="s">
        <v>40</v>
      </c>
      <c r="B36" s="20" t="s">
        <v>199</v>
      </c>
      <c r="C36" s="19"/>
      <c r="D36" s="17"/>
      <c r="E36" s="16"/>
      <c r="F36" s="18"/>
      <c r="G36" s="18"/>
      <c r="H36" s="37" t="str">
        <f>IFERROR(VLOOKUP(F36,'Product Spec'!B:D,2,FALSE)," ")</f>
        <v xml:space="preserve"> </v>
      </c>
      <c r="I36" s="37" t="str">
        <f>IFERROR(C36*H36*P36*MIN(1,2.4/E36)," ")</f>
        <v xml:space="preserve"> </v>
      </c>
      <c r="J36" s="37" t="str">
        <f>IFERROR(VLOOKUP(F36,'Product Spec'!B:D,3,FALSE)," ")</f>
        <v xml:space="preserve"> </v>
      </c>
      <c r="K36" s="43" t="str">
        <f>IFERROR(C36*J36*P36*MIN(1,2.4/E36)," ")</f>
        <v xml:space="preserve"> </v>
      </c>
      <c r="P36" s="8">
        <f>IF(OR(D36=30,D36=45,D36=60),Q36,COS(R36))</f>
        <v>1</v>
      </c>
      <c r="Q36" s="8" t="e" cm="1">
        <f t="array" ref="Q36">_xlfn.IFS(D36=30,0.87,D36=45,0.7,D36=60,0.5)</f>
        <v>#N/A</v>
      </c>
      <c r="R36" s="8">
        <f>(PI()/180)*D36</f>
        <v>0</v>
      </c>
      <c r="S36" s="8" t="e">
        <f>H42/H43</f>
        <v>#N/A</v>
      </c>
      <c r="V36" s="8">
        <f xml:space="preserve"> C43*15</f>
        <v>0</v>
      </c>
    </row>
    <row r="37" spans="1:22" ht="15" customHeight="1" x14ac:dyDescent="0.25">
      <c r="A37" s="236"/>
      <c r="B37" s="20" t="s">
        <v>200</v>
      </c>
      <c r="C37" s="19"/>
      <c r="D37" s="17"/>
      <c r="E37" s="16"/>
      <c r="F37" s="18"/>
      <c r="G37" s="18"/>
      <c r="H37" s="37" t="str">
        <f>IFERROR(VLOOKUP(F37,'Product Spec'!B:D,2,FALSE)," ")</f>
        <v xml:space="preserve"> </v>
      </c>
      <c r="I37" s="37" t="str">
        <f t="shared" ref="I37:I41" si="8">IFERROR(C37*H37*P37*MIN(1,2.4/E37)," ")</f>
        <v xml:space="preserve"> </v>
      </c>
      <c r="J37" s="37" t="str">
        <f>IFERROR(VLOOKUP(F37,'Product Spec'!B:D,3,FALSE)," ")</f>
        <v xml:space="preserve"> </v>
      </c>
      <c r="K37" s="43" t="str">
        <f t="shared" ref="K37:K41" si="9">IFERROR(C37*J37*P37*MIN(1,2.4/E37)," ")</f>
        <v xml:space="preserve"> </v>
      </c>
      <c r="P37" s="8">
        <f t="shared" ref="P37:P41" si="10">IF(OR(D37=30,D37=45,D37=60),Q37,COS(R37))</f>
        <v>1</v>
      </c>
      <c r="Q37" s="8" t="e" cm="1">
        <f t="array" ref="Q37">_xlfn.IFS(D37=30,0.87,D37=45,0.7,D37=60,0.5)</f>
        <v>#N/A</v>
      </c>
      <c r="R37" s="8">
        <f t="shared" ref="R37:R41" si="11">(PI()/180)*D37</f>
        <v>0</v>
      </c>
      <c r="S37" s="8">
        <f>J42/J43</f>
        <v>0</v>
      </c>
    </row>
    <row r="38" spans="1:22" ht="15" customHeight="1" x14ac:dyDescent="0.25">
      <c r="A38" s="236"/>
      <c r="B38" s="20" t="s">
        <v>201</v>
      </c>
      <c r="C38" s="19"/>
      <c r="D38" s="17"/>
      <c r="E38" s="16"/>
      <c r="F38" s="18"/>
      <c r="G38" s="18"/>
      <c r="H38" s="37" t="str">
        <f>IFERROR(VLOOKUP(F38,'Product Spec'!B:D,2,FALSE)," ")</f>
        <v xml:space="preserve"> </v>
      </c>
      <c r="I38" s="37" t="str">
        <f t="shared" si="8"/>
        <v xml:space="preserve"> </v>
      </c>
      <c r="J38" s="37" t="str">
        <f>IFERROR(VLOOKUP(F38,'Product Spec'!B:D,3,FALSE)," ")</f>
        <v xml:space="preserve"> </v>
      </c>
      <c r="K38" s="43" t="str">
        <f t="shared" si="9"/>
        <v xml:space="preserve"> </v>
      </c>
      <c r="P38" s="8">
        <f t="shared" si="10"/>
        <v>1</v>
      </c>
      <c r="Q38" s="8" t="e" cm="1">
        <f t="array" ref="Q38">_xlfn.IFS(D38=30,0.87,D38=45,0.7,D38=60,0.5)</f>
        <v>#N/A</v>
      </c>
      <c r="R38" s="8">
        <f t="shared" si="11"/>
        <v>0</v>
      </c>
    </row>
    <row r="39" spans="1:22" ht="15" customHeight="1" x14ac:dyDescent="0.25">
      <c r="A39" s="236"/>
      <c r="B39" s="20" t="s">
        <v>202</v>
      </c>
      <c r="C39" s="19"/>
      <c r="D39" s="17"/>
      <c r="E39" s="16"/>
      <c r="F39" s="18"/>
      <c r="G39" s="18"/>
      <c r="H39" s="37" t="str">
        <f>IFERROR(VLOOKUP(F39,'Product Spec'!B:D,2,FALSE)," ")</f>
        <v xml:space="preserve"> </v>
      </c>
      <c r="I39" s="37" t="str">
        <f t="shared" si="8"/>
        <v xml:space="preserve"> </v>
      </c>
      <c r="J39" s="37" t="str">
        <f>IFERROR(VLOOKUP(F39,'Product Spec'!B:D,3,FALSE)," ")</f>
        <v xml:space="preserve"> </v>
      </c>
      <c r="K39" s="43" t="str">
        <f t="shared" si="9"/>
        <v xml:space="preserve"> </v>
      </c>
      <c r="P39" s="8">
        <f t="shared" si="10"/>
        <v>1</v>
      </c>
      <c r="Q39" s="8" t="e" cm="1">
        <f t="array" ref="Q39">_xlfn.IFS(D39=30,0.87,D39=45,0.7,D39=60,0.5)</f>
        <v>#N/A</v>
      </c>
      <c r="R39" s="8">
        <f t="shared" si="11"/>
        <v>0</v>
      </c>
    </row>
    <row r="40" spans="1:22" ht="15" customHeight="1" x14ac:dyDescent="0.25">
      <c r="A40" s="236"/>
      <c r="B40" s="20" t="s">
        <v>203</v>
      </c>
      <c r="C40" s="19"/>
      <c r="D40" s="17"/>
      <c r="E40" s="16"/>
      <c r="F40" s="18"/>
      <c r="G40" s="18"/>
      <c r="H40" s="37" t="str">
        <f>IFERROR(VLOOKUP(F40,'Product Spec'!B:D,2,FALSE)," ")</f>
        <v xml:space="preserve"> </v>
      </c>
      <c r="I40" s="37" t="str">
        <f t="shared" si="8"/>
        <v xml:space="preserve"> </v>
      </c>
      <c r="J40" s="37" t="str">
        <f>IFERROR(VLOOKUP(F40,'Product Spec'!B:D,3,FALSE)," ")</f>
        <v xml:space="preserve"> </v>
      </c>
      <c r="K40" s="43" t="str">
        <f t="shared" si="9"/>
        <v xml:space="preserve"> </v>
      </c>
      <c r="P40" s="8">
        <f t="shared" si="10"/>
        <v>1</v>
      </c>
      <c r="Q40" s="8" t="e" cm="1">
        <f t="array" ref="Q40">_xlfn.IFS(D40=30,0.87,D40=45,0.7,D40=60,0.5)</f>
        <v>#N/A</v>
      </c>
      <c r="R40" s="8">
        <f t="shared" si="11"/>
        <v>0</v>
      </c>
    </row>
    <row r="41" spans="1:22" ht="15" customHeight="1" x14ac:dyDescent="0.25">
      <c r="A41" s="236"/>
      <c r="B41" s="20" t="s">
        <v>204</v>
      </c>
      <c r="C41" s="19"/>
      <c r="D41" s="17"/>
      <c r="E41" s="16"/>
      <c r="F41" s="18"/>
      <c r="G41" s="18"/>
      <c r="H41" s="37" t="str">
        <f>IFERROR(VLOOKUP(F41,'Product Spec'!B:D,2,FALSE)," ")</f>
        <v xml:space="preserve"> </v>
      </c>
      <c r="I41" s="37" t="str">
        <f t="shared" si="8"/>
        <v xml:space="preserve"> </v>
      </c>
      <c r="J41" s="37" t="str">
        <f>IFERROR(VLOOKUP(F41,'Product Spec'!B:D,3,FALSE)," ")</f>
        <v xml:space="preserve"> </v>
      </c>
      <c r="K41" s="43" t="str">
        <f t="shared" si="9"/>
        <v xml:space="preserve"> </v>
      </c>
      <c r="P41" s="8">
        <f t="shared" si="10"/>
        <v>1</v>
      </c>
      <c r="Q41" s="8" t="e" cm="1">
        <f t="array" ref="Q41">_xlfn.IFS(D41=30,0.87,D41=45,0.7,D41=60,0.5)</f>
        <v>#N/A</v>
      </c>
      <c r="R41" s="8">
        <f t="shared" si="11"/>
        <v>0</v>
      </c>
    </row>
    <row r="42" spans="1:22" ht="15" customHeight="1" x14ac:dyDescent="0.25">
      <c r="A42" s="236"/>
      <c r="B42" s="98" t="s">
        <v>170</v>
      </c>
      <c r="C42" s="99"/>
      <c r="D42" s="99"/>
      <c r="E42" s="99"/>
      <c r="F42" s="99"/>
      <c r="G42" s="100"/>
      <c r="H42" s="179" cm="1">
        <f t="array" ref="H42">IF(D8&lt;3,0,SUM(IFERROR(I36:I41,0)))</f>
        <v>0</v>
      </c>
      <c r="I42" s="180"/>
      <c r="J42" s="179" cm="1">
        <f t="array" ref="J42">IF(D8&lt;3,0,SUM(IFERROR(K36:K41,0)))</f>
        <v>0</v>
      </c>
      <c r="K42" s="181"/>
    </row>
    <row r="43" spans="1:22" ht="15" customHeight="1" x14ac:dyDescent="0.25">
      <c r="A43" s="44" t="s">
        <v>168</v>
      </c>
      <c r="B43" s="160"/>
      <c r="C43" s="161"/>
      <c r="D43" s="99" t="s">
        <v>166</v>
      </c>
      <c r="E43" s="99"/>
      <c r="F43" s="99"/>
      <c r="G43" s="100"/>
      <c r="H43" s="150" t="e">
        <f>MAX(100,(0.5*$D$3)/$D$8,V36)</f>
        <v>#N/A</v>
      </c>
      <c r="I43" s="151"/>
      <c r="J43" s="150">
        <f>MAX(100,(0.5*$I$3)/$D$8,V36)</f>
        <v>100</v>
      </c>
      <c r="K43" s="152"/>
    </row>
    <row r="44" spans="1:22" customFormat="1" ht="15" customHeight="1" x14ac:dyDescent="0.25">
      <c r="A44" s="153" t="e">
        <f>IF(OR(S36&lt;1,S37&lt;1),"Warning: Doesn’t meet the minimum BU's requirement per line."," ")</f>
        <v>#N/A</v>
      </c>
      <c r="B44" s="154"/>
      <c r="C44" s="154"/>
      <c r="D44" s="154"/>
      <c r="E44" s="154"/>
      <c r="F44" s="154"/>
      <c r="G44" s="154"/>
      <c r="H44" s="154"/>
      <c r="I44" s="154"/>
      <c r="J44" s="154"/>
      <c r="K44" s="155"/>
      <c r="L44" s="45"/>
    </row>
    <row r="45" spans="1:22" customFormat="1" ht="15" customHeight="1" x14ac:dyDescent="0.25">
      <c r="A45" s="170"/>
      <c r="B45" s="171"/>
      <c r="C45" s="171"/>
      <c r="D45" s="171"/>
      <c r="E45" s="171"/>
      <c r="F45" s="171"/>
      <c r="G45" s="171"/>
      <c r="H45" s="171"/>
      <c r="I45" s="171"/>
      <c r="J45" s="171"/>
      <c r="K45" s="172"/>
      <c r="L45" s="45"/>
    </row>
    <row r="46" spans="1:22" ht="15" customHeight="1" x14ac:dyDescent="0.25">
      <c r="A46" s="42" t="s">
        <v>83</v>
      </c>
      <c r="B46" s="33" t="s">
        <v>198</v>
      </c>
      <c r="C46" s="34" t="s">
        <v>86</v>
      </c>
      <c r="D46" s="33" t="s">
        <v>87</v>
      </c>
      <c r="E46" s="33" t="s">
        <v>111</v>
      </c>
      <c r="F46" s="33" t="s">
        <v>84</v>
      </c>
      <c r="G46" s="33" t="s">
        <v>85</v>
      </c>
      <c r="H46" s="24" t="s">
        <v>165</v>
      </c>
      <c r="I46" s="24" t="s">
        <v>169</v>
      </c>
      <c r="J46" s="24" t="s">
        <v>165</v>
      </c>
      <c r="K46" s="41" t="s">
        <v>169</v>
      </c>
      <c r="V46" s="8" t="s">
        <v>164</v>
      </c>
    </row>
    <row r="47" spans="1:22" ht="15" customHeight="1" x14ac:dyDescent="0.25">
      <c r="A47" s="236" t="s">
        <v>41</v>
      </c>
      <c r="B47" s="20" t="s">
        <v>199</v>
      </c>
      <c r="C47" s="19"/>
      <c r="D47" s="17"/>
      <c r="E47" s="16"/>
      <c r="F47" s="18"/>
      <c r="G47" s="18"/>
      <c r="H47" s="37" t="str">
        <f>IFERROR(VLOOKUP(F47,'Product Spec'!B:D,2,FALSE)," ")</f>
        <v xml:space="preserve"> </v>
      </c>
      <c r="I47" s="37" t="str">
        <f>IFERROR(C47*H47*P47*MIN(1,2.4/E47)," ")</f>
        <v xml:space="preserve"> </v>
      </c>
      <c r="J47" s="37" t="str">
        <f>IFERROR(VLOOKUP(F47,'Product Spec'!B:D,3,FALSE)," ")</f>
        <v xml:space="preserve"> </v>
      </c>
      <c r="K47" s="43" t="str">
        <f>IFERROR(C47*J47*P47*MIN(1,2.4/E47)," ")</f>
        <v xml:space="preserve"> </v>
      </c>
      <c r="P47" s="8">
        <f>IF(OR(D47=30,D47=45,D47=60),Q47,COS(R47))</f>
        <v>1</v>
      </c>
      <c r="Q47" s="8" t="e" cm="1">
        <f t="array" ref="Q47">_xlfn.IFS(D47=30,0.87,D47=45,0.7,D47=60,0.5)</f>
        <v>#N/A</v>
      </c>
      <c r="R47" s="8">
        <f>(PI()/180)*D47</f>
        <v>0</v>
      </c>
      <c r="S47" s="8" t="e">
        <f>H53/H54</f>
        <v>#N/A</v>
      </c>
      <c r="V47" s="8">
        <f xml:space="preserve"> C54*15</f>
        <v>0</v>
      </c>
    </row>
    <row r="48" spans="1:22" ht="15" customHeight="1" x14ac:dyDescent="0.25">
      <c r="A48" s="236"/>
      <c r="B48" s="20" t="s">
        <v>200</v>
      </c>
      <c r="C48" s="19"/>
      <c r="D48" s="17"/>
      <c r="E48" s="16"/>
      <c r="F48" s="18"/>
      <c r="G48" s="18"/>
      <c r="H48" s="37" t="str">
        <f>IFERROR(VLOOKUP(F48,'Product Spec'!B:D,2,FALSE)," ")</f>
        <v xml:space="preserve"> </v>
      </c>
      <c r="I48" s="37" t="str">
        <f t="shared" ref="I48:I52" si="12">IFERROR(C48*H48*P48*MIN(1,2.4/E48)," ")</f>
        <v xml:space="preserve"> </v>
      </c>
      <c r="J48" s="37" t="str">
        <f>IFERROR(VLOOKUP(F48,'Product Spec'!B:D,3,FALSE)," ")</f>
        <v xml:space="preserve"> </v>
      </c>
      <c r="K48" s="43" t="str">
        <f t="shared" ref="K48:K52" si="13">IFERROR(C48*J48*P48*MIN(1,2.4/E48)," ")</f>
        <v xml:space="preserve"> </v>
      </c>
      <c r="P48" s="8">
        <f t="shared" ref="P48:P52" si="14">IF(OR(D48=30,D48=45,D48=60),Q48,COS(R48))</f>
        <v>1</v>
      </c>
      <c r="Q48" s="8" t="e" cm="1">
        <f t="array" ref="Q48">_xlfn.IFS(D48=30,0.87,D48=45,0.7,D48=60,0.5)</f>
        <v>#N/A</v>
      </c>
      <c r="R48" s="8">
        <f t="shared" ref="R48:R52" si="15">(PI()/180)*D48</f>
        <v>0</v>
      </c>
      <c r="S48" s="8">
        <f>J53/J54</f>
        <v>0</v>
      </c>
    </row>
    <row r="49" spans="1:22" ht="15" customHeight="1" x14ac:dyDescent="0.25">
      <c r="A49" s="236"/>
      <c r="B49" s="20" t="s">
        <v>201</v>
      </c>
      <c r="C49" s="19"/>
      <c r="D49" s="17"/>
      <c r="E49" s="16"/>
      <c r="F49" s="18"/>
      <c r="G49" s="18"/>
      <c r="H49" s="37" t="str">
        <f>IFERROR(VLOOKUP(F49,'Product Spec'!B:D,2,FALSE)," ")</f>
        <v xml:space="preserve"> </v>
      </c>
      <c r="I49" s="37" t="str">
        <f t="shared" si="12"/>
        <v xml:space="preserve"> </v>
      </c>
      <c r="J49" s="37" t="str">
        <f>IFERROR(VLOOKUP(F49,'Product Spec'!B:D,3,FALSE)," ")</f>
        <v xml:space="preserve"> </v>
      </c>
      <c r="K49" s="43" t="str">
        <f t="shared" si="13"/>
        <v xml:space="preserve"> </v>
      </c>
      <c r="P49" s="8">
        <f t="shared" si="14"/>
        <v>1</v>
      </c>
      <c r="Q49" s="8" t="e" cm="1">
        <f t="array" ref="Q49">_xlfn.IFS(D49=30,0.87,D49=45,0.7,D49=60,0.5)</f>
        <v>#N/A</v>
      </c>
      <c r="R49" s="8">
        <f t="shared" si="15"/>
        <v>0</v>
      </c>
    </row>
    <row r="50" spans="1:22" ht="15" customHeight="1" x14ac:dyDescent="0.25">
      <c r="A50" s="236"/>
      <c r="B50" s="20" t="s">
        <v>202</v>
      </c>
      <c r="C50" s="19"/>
      <c r="D50" s="17"/>
      <c r="E50" s="16"/>
      <c r="F50" s="18"/>
      <c r="G50" s="18"/>
      <c r="H50" s="37" t="str">
        <f>IFERROR(VLOOKUP(F50,'Product Spec'!B:D,2,FALSE)," ")</f>
        <v xml:space="preserve"> </v>
      </c>
      <c r="I50" s="37" t="str">
        <f t="shared" si="12"/>
        <v xml:space="preserve"> </v>
      </c>
      <c r="J50" s="37" t="str">
        <f>IFERROR(VLOOKUP(F50,'Product Spec'!B:D,3,FALSE)," ")</f>
        <v xml:space="preserve"> </v>
      </c>
      <c r="K50" s="43" t="str">
        <f t="shared" si="13"/>
        <v xml:space="preserve"> </v>
      </c>
      <c r="P50" s="8">
        <f t="shared" si="14"/>
        <v>1</v>
      </c>
      <c r="Q50" s="8" t="e" cm="1">
        <f t="array" ref="Q50">_xlfn.IFS(D50=30,0.87,D50=45,0.7,D50=60,0.5)</f>
        <v>#N/A</v>
      </c>
      <c r="R50" s="8">
        <f t="shared" si="15"/>
        <v>0</v>
      </c>
    </row>
    <row r="51" spans="1:22" ht="15" customHeight="1" x14ac:dyDescent="0.25">
      <c r="A51" s="236"/>
      <c r="B51" s="20" t="s">
        <v>203</v>
      </c>
      <c r="C51" s="19"/>
      <c r="D51" s="17"/>
      <c r="E51" s="16"/>
      <c r="F51" s="18"/>
      <c r="G51" s="18"/>
      <c r="H51" s="37" t="str">
        <f>IFERROR(VLOOKUP(F51,'Product Spec'!B:D,2,FALSE)," ")</f>
        <v xml:space="preserve"> </v>
      </c>
      <c r="I51" s="37" t="str">
        <f t="shared" si="12"/>
        <v xml:space="preserve"> </v>
      </c>
      <c r="J51" s="37" t="str">
        <f>IFERROR(VLOOKUP(F51,'Product Spec'!B:D,3,FALSE)," ")</f>
        <v xml:space="preserve"> </v>
      </c>
      <c r="K51" s="43" t="str">
        <f t="shared" si="13"/>
        <v xml:space="preserve"> </v>
      </c>
      <c r="P51" s="8">
        <f t="shared" si="14"/>
        <v>1</v>
      </c>
      <c r="Q51" s="8" t="e" cm="1">
        <f t="array" ref="Q51">_xlfn.IFS(D51=30,0.87,D51=45,0.7,D51=60,0.5)</f>
        <v>#N/A</v>
      </c>
      <c r="R51" s="8">
        <f t="shared" si="15"/>
        <v>0</v>
      </c>
    </row>
    <row r="52" spans="1:22" ht="15" customHeight="1" x14ac:dyDescent="0.25">
      <c r="A52" s="236"/>
      <c r="B52" s="20" t="s">
        <v>204</v>
      </c>
      <c r="C52" s="19"/>
      <c r="D52" s="17"/>
      <c r="E52" s="16"/>
      <c r="F52" s="18"/>
      <c r="G52" s="18"/>
      <c r="H52" s="37" t="str">
        <f>IFERROR(VLOOKUP(F52,'Product Spec'!B:D,2,FALSE)," ")</f>
        <v xml:space="preserve"> </v>
      </c>
      <c r="I52" s="37" t="str">
        <f t="shared" si="12"/>
        <v xml:space="preserve"> </v>
      </c>
      <c r="J52" s="37" t="str">
        <f>IFERROR(VLOOKUP(F52,'Product Spec'!B:D,3,FALSE)," ")</f>
        <v xml:space="preserve"> </v>
      </c>
      <c r="K52" s="43" t="str">
        <f t="shared" si="13"/>
        <v xml:space="preserve"> </v>
      </c>
      <c r="P52" s="8">
        <f t="shared" si="14"/>
        <v>1</v>
      </c>
      <c r="Q52" s="8" t="e" cm="1">
        <f t="array" ref="Q52">_xlfn.IFS(D52=30,0.87,D52=45,0.7,D52=60,0.5)</f>
        <v>#N/A</v>
      </c>
      <c r="R52" s="8">
        <f t="shared" si="15"/>
        <v>0</v>
      </c>
    </row>
    <row r="53" spans="1:22" ht="15" customHeight="1" x14ac:dyDescent="0.25">
      <c r="A53" s="236"/>
      <c r="B53" s="98" t="s">
        <v>170</v>
      </c>
      <c r="C53" s="99"/>
      <c r="D53" s="99"/>
      <c r="E53" s="99"/>
      <c r="F53" s="99"/>
      <c r="G53" s="100"/>
      <c r="H53" s="179" cm="1">
        <f t="array" ref="H53">IF(D8&lt;4,0,SUM(IFERROR(I47:I52,0)))</f>
        <v>0</v>
      </c>
      <c r="I53" s="180"/>
      <c r="J53" s="179" cm="1">
        <f t="array" ref="J53">IF(D8&lt;4,0,SUM(IFERROR(K47:K52,0)))</f>
        <v>0</v>
      </c>
      <c r="K53" s="181"/>
    </row>
    <row r="54" spans="1:22" ht="15" customHeight="1" x14ac:dyDescent="0.25">
      <c r="A54" s="44" t="s">
        <v>168</v>
      </c>
      <c r="B54" s="160"/>
      <c r="C54" s="161"/>
      <c r="D54" s="99" t="s">
        <v>166</v>
      </c>
      <c r="E54" s="99"/>
      <c r="F54" s="99"/>
      <c r="G54" s="100"/>
      <c r="H54" s="150" t="e">
        <f>MAX(100,(0.5*$D$3)/$D$8,V47)</f>
        <v>#N/A</v>
      </c>
      <c r="I54" s="151"/>
      <c r="J54" s="150">
        <f>MAX(100,(0.5*$I$3)/$D$8,V47)</f>
        <v>100</v>
      </c>
      <c r="K54" s="152"/>
    </row>
    <row r="55" spans="1:22" customFormat="1" ht="15" customHeight="1" x14ac:dyDescent="0.25">
      <c r="A55" s="153" t="e">
        <f>IF(OR(S47&lt;1,S48&lt;1),"Warning: Doesn’t meet the minimum BU's requirement per line."," ")</f>
        <v>#N/A</v>
      </c>
      <c r="B55" s="154"/>
      <c r="C55" s="154"/>
      <c r="D55" s="154"/>
      <c r="E55" s="154"/>
      <c r="F55" s="154"/>
      <c r="G55" s="154"/>
      <c r="H55" s="154"/>
      <c r="I55" s="154"/>
      <c r="J55" s="154"/>
      <c r="K55" s="155"/>
      <c r="L55" s="45"/>
    </row>
    <row r="56" spans="1:22" ht="15" customHeight="1" x14ac:dyDescent="0.25">
      <c r="A56" s="156"/>
      <c r="B56" s="157"/>
      <c r="C56" s="157"/>
      <c r="D56" s="157"/>
      <c r="E56" s="157"/>
      <c r="F56" s="157"/>
      <c r="G56" s="157"/>
      <c r="H56" s="157"/>
      <c r="I56" s="157"/>
      <c r="J56" s="157"/>
      <c r="K56" s="158"/>
      <c r="M56"/>
      <c r="N56"/>
      <c r="O56"/>
      <c r="P56"/>
      <c r="Q56"/>
      <c r="R56"/>
      <c r="S56"/>
      <c r="T56"/>
      <c r="U56"/>
      <c r="V56"/>
    </row>
    <row r="57" spans="1:22" ht="15" customHeight="1" x14ac:dyDescent="0.25">
      <c r="A57" s="42" t="s">
        <v>83</v>
      </c>
      <c r="B57" s="33" t="s">
        <v>198</v>
      </c>
      <c r="C57" s="34" t="s">
        <v>86</v>
      </c>
      <c r="D57" s="33" t="s">
        <v>87</v>
      </c>
      <c r="E57" s="33" t="s">
        <v>111</v>
      </c>
      <c r="F57" s="33" t="s">
        <v>84</v>
      </c>
      <c r="G57" s="33" t="s">
        <v>85</v>
      </c>
      <c r="H57" s="24" t="s">
        <v>165</v>
      </c>
      <c r="I57" s="24" t="s">
        <v>169</v>
      </c>
      <c r="J57" s="24" t="s">
        <v>165</v>
      </c>
      <c r="K57" s="41" t="s">
        <v>169</v>
      </c>
      <c r="V57" s="8" t="s">
        <v>164</v>
      </c>
    </row>
    <row r="58" spans="1:22" ht="15" customHeight="1" x14ac:dyDescent="0.25">
      <c r="A58" s="236" t="s">
        <v>42</v>
      </c>
      <c r="B58" s="20" t="s">
        <v>199</v>
      </c>
      <c r="C58" s="19"/>
      <c r="D58" s="17"/>
      <c r="E58" s="16"/>
      <c r="F58" s="18"/>
      <c r="G58" s="18"/>
      <c r="H58" s="37" t="str">
        <f>IFERROR(VLOOKUP(F58,'Product Spec'!B:D,2,FALSE)," ")</f>
        <v xml:space="preserve"> </v>
      </c>
      <c r="I58" s="37" t="str">
        <f>IFERROR(C58*H58*P58*MIN(1,2.4/E58)," ")</f>
        <v xml:space="preserve"> </v>
      </c>
      <c r="J58" s="37" t="str">
        <f>IFERROR(VLOOKUP(F58,'Product Spec'!B:D,3,FALSE)," ")</f>
        <v xml:space="preserve"> </v>
      </c>
      <c r="K58" s="43" t="str">
        <f>IFERROR(C58*J58*P58*MIN(1,2.4/E58)," ")</f>
        <v xml:space="preserve"> </v>
      </c>
      <c r="P58" s="8">
        <f>IF(OR(D58=30,D58=45,D58=60),Q58,COS(R58))</f>
        <v>1</v>
      </c>
      <c r="Q58" s="8" t="e" cm="1">
        <f t="array" ref="Q58">_xlfn.IFS(D58=30,0.87,D58=45,0.7,D58=60,0.5)</f>
        <v>#N/A</v>
      </c>
      <c r="R58" s="8">
        <f>(PI()/180)*D58</f>
        <v>0</v>
      </c>
      <c r="S58" s="8" t="e">
        <f>H64/H65</f>
        <v>#N/A</v>
      </c>
      <c r="V58" s="8">
        <f xml:space="preserve"> C65*15</f>
        <v>0</v>
      </c>
    </row>
    <row r="59" spans="1:22" ht="15" customHeight="1" x14ac:dyDescent="0.25">
      <c r="A59" s="236"/>
      <c r="B59" s="20" t="s">
        <v>200</v>
      </c>
      <c r="C59" s="19"/>
      <c r="D59" s="17"/>
      <c r="E59" s="16"/>
      <c r="F59" s="18"/>
      <c r="G59" s="18"/>
      <c r="H59" s="37" t="str">
        <f>IFERROR(VLOOKUP(F59,'Product Spec'!B:D,2,FALSE)," ")</f>
        <v xml:space="preserve"> </v>
      </c>
      <c r="I59" s="37" t="str">
        <f t="shared" ref="I59:I63" si="16">IFERROR(C59*H59*P59*MIN(1,2.4/E59)," ")</f>
        <v xml:space="preserve"> </v>
      </c>
      <c r="J59" s="37" t="str">
        <f>IFERROR(VLOOKUP(F59,'Product Spec'!B:D,3,FALSE)," ")</f>
        <v xml:space="preserve"> </v>
      </c>
      <c r="K59" s="43" t="str">
        <f t="shared" ref="K59:K63" si="17">IFERROR(C59*J59*P59*MIN(1,2.4/E59)," ")</f>
        <v xml:space="preserve"> </v>
      </c>
      <c r="P59" s="8">
        <f t="shared" ref="P59:P63" si="18">IF(OR(D59=30,D59=45,D59=60),Q59,COS(R59))</f>
        <v>1</v>
      </c>
      <c r="Q59" s="8" t="e" cm="1">
        <f t="array" ref="Q59">_xlfn.IFS(D59=30,0.87,D59=45,0.7,D59=60,0.5)</f>
        <v>#N/A</v>
      </c>
      <c r="R59" s="8">
        <f t="shared" ref="R59:R63" si="19">(PI()/180)*D59</f>
        <v>0</v>
      </c>
      <c r="S59" s="8">
        <f>J64/J65</f>
        <v>0</v>
      </c>
    </row>
    <row r="60" spans="1:22" ht="15" customHeight="1" x14ac:dyDescent="0.25">
      <c r="A60" s="236"/>
      <c r="B60" s="20" t="s">
        <v>201</v>
      </c>
      <c r="C60" s="19"/>
      <c r="D60" s="17"/>
      <c r="E60" s="16"/>
      <c r="F60" s="18"/>
      <c r="G60" s="18"/>
      <c r="H60" s="37" t="str">
        <f>IFERROR(VLOOKUP(F60,'Product Spec'!B:D,2,FALSE)," ")</f>
        <v xml:space="preserve"> </v>
      </c>
      <c r="I60" s="37" t="str">
        <f t="shared" si="16"/>
        <v xml:space="preserve"> </v>
      </c>
      <c r="J60" s="37" t="str">
        <f>IFERROR(VLOOKUP(F60,'Product Spec'!B:D,3,FALSE)," ")</f>
        <v xml:space="preserve"> </v>
      </c>
      <c r="K60" s="43" t="str">
        <f t="shared" si="17"/>
        <v xml:space="preserve"> </v>
      </c>
      <c r="P60" s="8">
        <f t="shared" si="18"/>
        <v>1</v>
      </c>
      <c r="Q60" s="8" t="e" cm="1">
        <f t="array" ref="Q60">_xlfn.IFS(D60=30,0.87,D60=45,0.7,D60=60,0.5)</f>
        <v>#N/A</v>
      </c>
      <c r="R60" s="8">
        <f t="shared" si="19"/>
        <v>0</v>
      </c>
    </row>
    <row r="61" spans="1:22" ht="15" customHeight="1" x14ac:dyDescent="0.25">
      <c r="A61" s="236"/>
      <c r="B61" s="20" t="s">
        <v>202</v>
      </c>
      <c r="C61" s="19"/>
      <c r="D61" s="17"/>
      <c r="E61" s="16"/>
      <c r="F61" s="18"/>
      <c r="G61" s="18"/>
      <c r="H61" s="37" t="str">
        <f>IFERROR(VLOOKUP(F61,'Product Spec'!B:D,2,FALSE)," ")</f>
        <v xml:space="preserve"> </v>
      </c>
      <c r="I61" s="37" t="str">
        <f t="shared" si="16"/>
        <v xml:space="preserve"> </v>
      </c>
      <c r="J61" s="37" t="str">
        <f>IFERROR(VLOOKUP(F61,'Product Spec'!B:D,3,FALSE)," ")</f>
        <v xml:space="preserve"> </v>
      </c>
      <c r="K61" s="43" t="str">
        <f t="shared" si="17"/>
        <v xml:space="preserve"> </v>
      </c>
      <c r="P61" s="8">
        <f t="shared" si="18"/>
        <v>1</v>
      </c>
      <c r="Q61" s="8" t="e" cm="1">
        <f t="array" ref="Q61">_xlfn.IFS(D61=30,0.87,D61=45,0.7,D61=60,0.5)</f>
        <v>#N/A</v>
      </c>
      <c r="R61" s="8">
        <f t="shared" si="19"/>
        <v>0</v>
      </c>
    </row>
    <row r="62" spans="1:22" ht="15" customHeight="1" x14ac:dyDescent="0.25">
      <c r="A62" s="236"/>
      <c r="B62" s="20" t="s">
        <v>203</v>
      </c>
      <c r="C62" s="19"/>
      <c r="D62" s="17"/>
      <c r="E62" s="16"/>
      <c r="F62" s="18"/>
      <c r="G62" s="18"/>
      <c r="H62" s="37" t="str">
        <f>IFERROR(VLOOKUP(F62,'Product Spec'!B:D,2,FALSE)," ")</f>
        <v xml:space="preserve"> </v>
      </c>
      <c r="I62" s="37" t="str">
        <f t="shared" si="16"/>
        <v xml:space="preserve"> </v>
      </c>
      <c r="J62" s="37" t="str">
        <f>IFERROR(VLOOKUP(F62,'Product Spec'!B:D,3,FALSE)," ")</f>
        <v xml:space="preserve"> </v>
      </c>
      <c r="K62" s="43" t="str">
        <f t="shared" si="17"/>
        <v xml:space="preserve"> </v>
      </c>
      <c r="P62" s="8">
        <f t="shared" si="18"/>
        <v>1</v>
      </c>
      <c r="Q62" s="8" t="e" cm="1">
        <f t="array" ref="Q62">_xlfn.IFS(D62=30,0.87,D62=45,0.7,D62=60,0.5)</f>
        <v>#N/A</v>
      </c>
      <c r="R62" s="8">
        <f t="shared" si="19"/>
        <v>0</v>
      </c>
    </row>
    <row r="63" spans="1:22" ht="15" customHeight="1" x14ac:dyDescent="0.25">
      <c r="A63" s="236"/>
      <c r="B63" s="20" t="s">
        <v>204</v>
      </c>
      <c r="C63" s="19"/>
      <c r="D63" s="17"/>
      <c r="E63" s="16"/>
      <c r="F63" s="18"/>
      <c r="G63" s="18"/>
      <c r="H63" s="37" t="str">
        <f>IFERROR(VLOOKUP(F63,'Product Spec'!B:D,2,FALSE)," ")</f>
        <v xml:space="preserve"> </v>
      </c>
      <c r="I63" s="37" t="str">
        <f t="shared" si="16"/>
        <v xml:space="preserve"> </v>
      </c>
      <c r="J63" s="37" t="str">
        <f>IFERROR(VLOOKUP(F63,'Product Spec'!B:D,3,FALSE)," ")</f>
        <v xml:space="preserve"> </v>
      </c>
      <c r="K63" s="43" t="str">
        <f t="shared" si="17"/>
        <v xml:space="preserve"> </v>
      </c>
      <c r="P63" s="8">
        <f t="shared" si="18"/>
        <v>1</v>
      </c>
      <c r="Q63" s="8" t="e" cm="1">
        <f t="array" ref="Q63">_xlfn.IFS(D63=30,0.87,D63=45,0.7,D63=60,0.5)</f>
        <v>#N/A</v>
      </c>
      <c r="R63" s="8">
        <f t="shared" si="19"/>
        <v>0</v>
      </c>
    </row>
    <row r="64" spans="1:22" ht="15" customHeight="1" x14ac:dyDescent="0.25">
      <c r="A64" s="236"/>
      <c r="B64" s="98" t="s">
        <v>170</v>
      </c>
      <c r="C64" s="99"/>
      <c r="D64" s="99"/>
      <c r="E64" s="99"/>
      <c r="F64" s="99"/>
      <c r="G64" s="100"/>
      <c r="H64" s="179" cm="1">
        <f t="array" ref="H64">IF(D8&lt;5,0,SUM(IFERROR(I58:I63,0)))</f>
        <v>0</v>
      </c>
      <c r="I64" s="180"/>
      <c r="J64" s="179" cm="1">
        <f t="array" ref="J64">IF(D8&lt;5,0,SUM(IFERROR(K58:K63,0)))</f>
        <v>0</v>
      </c>
      <c r="K64" s="181"/>
    </row>
    <row r="65" spans="1:22" ht="15" customHeight="1" x14ac:dyDescent="0.25">
      <c r="A65" s="44" t="s">
        <v>168</v>
      </c>
      <c r="B65" s="160"/>
      <c r="C65" s="161"/>
      <c r="D65" s="99" t="s">
        <v>166</v>
      </c>
      <c r="E65" s="99"/>
      <c r="F65" s="99"/>
      <c r="G65" s="100"/>
      <c r="H65" s="150" t="e">
        <f>MAX(100,(0.5*$D$3)/$D$8,V58)</f>
        <v>#N/A</v>
      </c>
      <c r="I65" s="151"/>
      <c r="J65" s="150">
        <f>MAX(100,(0.5*$I$3)/$D$8,V58)</f>
        <v>100</v>
      </c>
      <c r="K65" s="152"/>
    </row>
    <row r="66" spans="1:22" customFormat="1" ht="15" customHeight="1" x14ac:dyDescent="0.25">
      <c r="A66" s="153" t="e">
        <f>IF(OR(S58&lt;1,S59&lt;1),"Warning: Doesn’t meet the minimum BU's requirement per line."," ")</f>
        <v>#N/A</v>
      </c>
      <c r="B66" s="154"/>
      <c r="C66" s="154"/>
      <c r="D66" s="154"/>
      <c r="E66" s="154"/>
      <c r="F66" s="154"/>
      <c r="G66" s="154"/>
      <c r="H66" s="154"/>
      <c r="I66" s="154"/>
      <c r="J66" s="154"/>
      <c r="K66" s="155"/>
      <c r="L66" s="45"/>
    </row>
    <row r="67" spans="1:22" ht="15" customHeight="1" x14ac:dyDescent="0.25">
      <c r="A67" s="156"/>
      <c r="B67" s="157"/>
      <c r="C67" s="157"/>
      <c r="D67" s="157"/>
      <c r="E67" s="157"/>
      <c r="F67" s="157"/>
      <c r="G67" s="157"/>
      <c r="H67" s="157"/>
      <c r="I67" s="157"/>
      <c r="J67" s="157"/>
      <c r="K67" s="158"/>
      <c r="M67"/>
      <c r="N67"/>
      <c r="O67"/>
      <c r="P67"/>
      <c r="Q67"/>
      <c r="R67"/>
      <c r="S67"/>
      <c r="T67"/>
      <c r="U67"/>
      <c r="V67"/>
    </row>
    <row r="68" spans="1:22" ht="15" customHeight="1" x14ac:dyDescent="0.25">
      <c r="A68" s="42" t="s">
        <v>83</v>
      </c>
      <c r="B68" s="33" t="s">
        <v>198</v>
      </c>
      <c r="C68" s="34" t="s">
        <v>86</v>
      </c>
      <c r="D68" s="33" t="s">
        <v>87</v>
      </c>
      <c r="E68" s="33" t="s">
        <v>111</v>
      </c>
      <c r="F68" s="33" t="s">
        <v>84</v>
      </c>
      <c r="G68" s="33" t="s">
        <v>85</v>
      </c>
      <c r="H68" s="24" t="s">
        <v>165</v>
      </c>
      <c r="I68" s="24" t="s">
        <v>169</v>
      </c>
      <c r="J68" s="24" t="s">
        <v>165</v>
      </c>
      <c r="K68" s="41" t="s">
        <v>169</v>
      </c>
      <c r="V68" s="8" t="s">
        <v>164</v>
      </c>
    </row>
    <row r="69" spans="1:22" ht="15" customHeight="1" x14ac:dyDescent="0.25">
      <c r="A69" s="236" t="s">
        <v>112</v>
      </c>
      <c r="B69" s="20" t="s">
        <v>199</v>
      </c>
      <c r="C69" s="19"/>
      <c r="D69" s="17"/>
      <c r="E69" s="16"/>
      <c r="F69" s="18"/>
      <c r="G69" s="18"/>
      <c r="H69" s="37" t="str">
        <f>IFERROR(VLOOKUP(F69,'Product Spec'!B:D,2,FALSE)," ")</f>
        <v xml:space="preserve"> </v>
      </c>
      <c r="I69" s="37" t="str">
        <f>IFERROR(C69*H69*P69*MIN(1,2.4/E69)," ")</f>
        <v xml:space="preserve"> </v>
      </c>
      <c r="J69" s="37" t="str">
        <f>IFERROR(VLOOKUP(F69,'Product Spec'!B:D,3,FALSE)," ")</f>
        <v xml:space="preserve"> </v>
      </c>
      <c r="K69" s="43" t="str">
        <f>IFERROR(C69*J69*P69*MIN(1,2.4/E69)," ")</f>
        <v xml:space="preserve"> </v>
      </c>
      <c r="P69" s="8">
        <f>IF(OR(D69=30,D69=45,D69=60),Q69,COS(R69))</f>
        <v>1</v>
      </c>
      <c r="Q69" s="8" t="e" cm="1">
        <f t="array" ref="Q69">_xlfn.IFS(D69=30,0.87,D69=45,0.7,D69=60,0.5)</f>
        <v>#N/A</v>
      </c>
      <c r="R69" s="8">
        <f>(PI()/180)*D69</f>
        <v>0</v>
      </c>
      <c r="S69" s="8" t="e">
        <f>H75/H76</f>
        <v>#N/A</v>
      </c>
      <c r="V69" s="8">
        <f xml:space="preserve"> C76*15</f>
        <v>0</v>
      </c>
    </row>
    <row r="70" spans="1:22" ht="15" customHeight="1" x14ac:dyDescent="0.25">
      <c r="A70" s="236"/>
      <c r="B70" s="20" t="s">
        <v>200</v>
      </c>
      <c r="C70" s="19"/>
      <c r="D70" s="17"/>
      <c r="E70" s="16"/>
      <c r="F70" s="18"/>
      <c r="G70" s="18"/>
      <c r="H70" s="37" t="str">
        <f>IFERROR(VLOOKUP(F70,'Product Spec'!B:D,2,FALSE)," ")</f>
        <v xml:space="preserve"> </v>
      </c>
      <c r="I70" s="37" t="str">
        <f t="shared" ref="I70:I74" si="20">IFERROR(C70*H70*P70*MIN(1,2.4/E70)," ")</f>
        <v xml:space="preserve"> </v>
      </c>
      <c r="J70" s="37" t="str">
        <f>IFERROR(VLOOKUP(F70,'Product Spec'!B:D,3,FALSE)," ")</f>
        <v xml:space="preserve"> </v>
      </c>
      <c r="K70" s="43" t="str">
        <f t="shared" ref="K70:K74" si="21">IFERROR(C70*J70*P70*MIN(1,2.4/E70)," ")</f>
        <v xml:space="preserve"> </v>
      </c>
      <c r="P70" s="8">
        <f t="shared" ref="P70:P74" si="22">IF(OR(D70=30,D70=45,D70=60),Q70,COS(R70))</f>
        <v>1</v>
      </c>
      <c r="Q70" s="8" t="e" cm="1">
        <f t="array" ref="Q70">_xlfn.IFS(D70=30,0.87,D70=45,0.7,D70=60,0.5)</f>
        <v>#N/A</v>
      </c>
      <c r="R70" s="8">
        <f t="shared" ref="R70:R74" si="23">(PI()/180)*D70</f>
        <v>0</v>
      </c>
      <c r="S70" s="8">
        <f>J75/J76</f>
        <v>0</v>
      </c>
    </row>
    <row r="71" spans="1:22" ht="15" customHeight="1" x14ac:dyDescent="0.25">
      <c r="A71" s="236"/>
      <c r="B71" s="20" t="s">
        <v>201</v>
      </c>
      <c r="C71" s="19"/>
      <c r="D71" s="17"/>
      <c r="E71" s="16"/>
      <c r="F71" s="18"/>
      <c r="G71" s="18"/>
      <c r="H71" s="37" t="str">
        <f>IFERROR(VLOOKUP(F71,'Product Spec'!B:D,2,FALSE)," ")</f>
        <v xml:space="preserve"> </v>
      </c>
      <c r="I71" s="37" t="str">
        <f t="shared" si="20"/>
        <v xml:space="preserve"> </v>
      </c>
      <c r="J71" s="37" t="str">
        <f>IFERROR(VLOOKUP(F71,'Product Spec'!B:D,3,FALSE)," ")</f>
        <v xml:space="preserve"> </v>
      </c>
      <c r="K71" s="43" t="str">
        <f t="shared" si="21"/>
        <v xml:space="preserve"> </v>
      </c>
      <c r="P71" s="8">
        <f t="shared" si="22"/>
        <v>1</v>
      </c>
      <c r="Q71" s="8" t="e" cm="1">
        <f t="array" ref="Q71">_xlfn.IFS(D71=30,0.87,D71=45,0.7,D71=60,0.5)</f>
        <v>#N/A</v>
      </c>
      <c r="R71" s="8">
        <f t="shared" si="23"/>
        <v>0</v>
      </c>
    </row>
    <row r="72" spans="1:22" ht="15" customHeight="1" x14ac:dyDescent="0.25">
      <c r="A72" s="236"/>
      <c r="B72" s="20" t="s">
        <v>202</v>
      </c>
      <c r="C72" s="19"/>
      <c r="D72" s="17"/>
      <c r="E72" s="16"/>
      <c r="F72" s="18"/>
      <c r="G72" s="18"/>
      <c r="H72" s="37" t="str">
        <f>IFERROR(VLOOKUP(F72,'Product Spec'!B:D,2,FALSE)," ")</f>
        <v xml:space="preserve"> </v>
      </c>
      <c r="I72" s="37" t="str">
        <f t="shared" si="20"/>
        <v xml:space="preserve"> </v>
      </c>
      <c r="J72" s="37" t="str">
        <f>IFERROR(VLOOKUP(F72,'Product Spec'!B:D,3,FALSE)," ")</f>
        <v xml:space="preserve"> </v>
      </c>
      <c r="K72" s="43" t="str">
        <f t="shared" si="21"/>
        <v xml:space="preserve"> </v>
      </c>
      <c r="P72" s="8">
        <f t="shared" si="22"/>
        <v>1</v>
      </c>
      <c r="Q72" s="8" t="e" cm="1">
        <f t="array" ref="Q72">_xlfn.IFS(D72=30,0.87,D72=45,0.7,D72=60,0.5)</f>
        <v>#N/A</v>
      </c>
      <c r="R72" s="8">
        <f t="shared" si="23"/>
        <v>0</v>
      </c>
    </row>
    <row r="73" spans="1:22" ht="15" customHeight="1" x14ac:dyDescent="0.25">
      <c r="A73" s="236"/>
      <c r="B73" s="20" t="s">
        <v>203</v>
      </c>
      <c r="C73" s="19"/>
      <c r="D73" s="17"/>
      <c r="E73" s="16"/>
      <c r="F73" s="18"/>
      <c r="G73" s="18"/>
      <c r="H73" s="37" t="str">
        <f>IFERROR(VLOOKUP(F73,'Product Spec'!B:D,2,FALSE)," ")</f>
        <v xml:space="preserve"> </v>
      </c>
      <c r="I73" s="37" t="str">
        <f t="shared" si="20"/>
        <v xml:space="preserve"> </v>
      </c>
      <c r="J73" s="37" t="str">
        <f>IFERROR(VLOOKUP(F73,'Product Spec'!B:D,3,FALSE)," ")</f>
        <v xml:space="preserve"> </v>
      </c>
      <c r="K73" s="43" t="str">
        <f t="shared" si="21"/>
        <v xml:space="preserve"> </v>
      </c>
      <c r="P73" s="8">
        <f t="shared" si="22"/>
        <v>1</v>
      </c>
      <c r="Q73" s="8" t="e" cm="1">
        <f t="array" ref="Q73">_xlfn.IFS(D73=30,0.87,D73=45,0.7,D73=60,0.5)</f>
        <v>#N/A</v>
      </c>
      <c r="R73" s="8">
        <f t="shared" si="23"/>
        <v>0</v>
      </c>
    </row>
    <row r="74" spans="1:22" ht="15" customHeight="1" x14ac:dyDescent="0.25">
      <c r="A74" s="236"/>
      <c r="B74" s="20" t="s">
        <v>204</v>
      </c>
      <c r="C74" s="19"/>
      <c r="D74" s="17"/>
      <c r="E74" s="16"/>
      <c r="F74" s="18"/>
      <c r="G74" s="18"/>
      <c r="H74" s="37" t="str">
        <f>IFERROR(VLOOKUP(F74,'Product Spec'!B:D,2,FALSE)," ")</f>
        <v xml:space="preserve"> </v>
      </c>
      <c r="I74" s="37" t="str">
        <f t="shared" si="20"/>
        <v xml:space="preserve"> </v>
      </c>
      <c r="J74" s="37" t="str">
        <f>IFERROR(VLOOKUP(F74,'Product Spec'!B:D,3,FALSE)," ")</f>
        <v xml:space="preserve"> </v>
      </c>
      <c r="K74" s="43" t="str">
        <f t="shared" si="21"/>
        <v xml:space="preserve"> </v>
      </c>
      <c r="P74" s="8">
        <f t="shared" si="22"/>
        <v>1</v>
      </c>
      <c r="Q74" s="8" t="e" cm="1">
        <f t="array" ref="Q74">_xlfn.IFS(D74=30,0.87,D74=45,0.7,D74=60,0.5)</f>
        <v>#N/A</v>
      </c>
      <c r="R74" s="8">
        <f t="shared" si="23"/>
        <v>0</v>
      </c>
    </row>
    <row r="75" spans="1:22" ht="15" customHeight="1" x14ac:dyDescent="0.25">
      <c r="A75" s="236"/>
      <c r="B75" s="98" t="s">
        <v>170</v>
      </c>
      <c r="C75" s="99"/>
      <c r="D75" s="99"/>
      <c r="E75" s="99"/>
      <c r="F75" s="99"/>
      <c r="G75" s="100"/>
      <c r="H75" s="179" cm="1">
        <f t="array" ref="H75">IF(D8&lt;6,0,SUM(IFERROR(I69:I74,0)))</f>
        <v>0</v>
      </c>
      <c r="I75" s="180"/>
      <c r="J75" s="179" cm="1">
        <f t="array" ref="J75">IF(D8&lt;6,0,SUM(IFERROR(K69:K74,0)))</f>
        <v>0</v>
      </c>
      <c r="K75" s="181"/>
    </row>
    <row r="76" spans="1:22" ht="15" customHeight="1" x14ac:dyDescent="0.25">
      <c r="A76" s="44" t="s">
        <v>168</v>
      </c>
      <c r="B76" s="160"/>
      <c r="C76" s="161"/>
      <c r="D76" s="99" t="s">
        <v>166</v>
      </c>
      <c r="E76" s="99"/>
      <c r="F76" s="99"/>
      <c r="G76" s="100"/>
      <c r="H76" s="150" t="e">
        <f>MAX(100,(0.5*$D$3)/$D$8,V69)</f>
        <v>#N/A</v>
      </c>
      <c r="I76" s="151"/>
      <c r="J76" s="150">
        <f>MAX(100,(0.5*$I$3)/$D$8,V69)</f>
        <v>100</v>
      </c>
      <c r="K76" s="152"/>
    </row>
    <row r="77" spans="1:22" customFormat="1" ht="15" customHeight="1" x14ac:dyDescent="0.25">
      <c r="A77" s="153" t="e">
        <f>IF(OR(S69&lt;1,S70&lt;1),"Warning: Doesn’t meet the minimum BU's requirement per line."," ")</f>
        <v>#N/A</v>
      </c>
      <c r="B77" s="154"/>
      <c r="C77" s="154"/>
      <c r="D77" s="154"/>
      <c r="E77" s="154"/>
      <c r="F77" s="154"/>
      <c r="G77" s="154"/>
      <c r="H77" s="154"/>
      <c r="I77" s="154"/>
      <c r="J77" s="154"/>
      <c r="K77" s="155"/>
      <c r="L77" s="45"/>
    </row>
    <row r="78" spans="1:22" ht="15" customHeight="1" x14ac:dyDescent="0.25">
      <c r="A78" s="156"/>
      <c r="B78" s="157"/>
      <c r="C78" s="157"/>
      <c r="D78" s="157"/>
      <c r="E78" s="157"/>
      <c r="F78" s="157"/>
      <c r="G78" s="157"/>
      <c r="H78" s="157"/>
      <c r="I78" s="157"/>
      <c r="J78" s="157"/>
      <c r="K78" s="158"/>
      <c r="M78"/>
      <c r="N78"/>
      <c r="O78"/>
      <c r="P78"/>
      <c r="Q78"/>
      <c r="R78"/>
      <c r="S78"/>
      <c r="T78"/>
      <c r="U78"/>
      <c r="V78"/>
    </row>
    <row r="79" spans="1:22" ht="15" customHeight="1" x14ac:dyDescent="0.25">
      <c r="A79" s="42" t="s">
        <v>83</v>
      </c>
      <c r="B79" s="33" t="s">
        <v>198</v>
      </c>
      <c r="C79" s="34" t="s">
        <v>86</v>
      </c>
      <c r="D79" s="33" t="s">
        <v>87</v>
      </c>
      <c r="E79" s="33" t="s">
        <v>111</v>
      </c>
      <c r="F79" s="33" t="s">
        <v>84</v>
      </c>
      <c r="G79" s="33" t="s">
        <v>85</v>
      </c>
      <c r="H79" s="24" t="s">
        <v>165</v>
      </c>
      <c r="I79" s="24" t="s">
        <v>169</v>
      </c>
      <c r="J79" s="24" t="s">
        <v>165</v>
      </c>
      <c r="K79" s="41" t="s">
        <v>169</v>
      </c>
      <c r="V79" s="8" t="s">
        <v>164</v>
      </c>
    </row>
    <row r="80" spans="1:22" ht="15" customHeight="1" x14ac:dyDescent="0.25">
      <c r="A80" s="236" t="s">
        <v>113</v>
      </c>
      <c r="B80" s="20" t="s">
        <v>199</v>
      </c>
      <c r="C80" s="19"/>
      <c r="D80" s="17"/>
      <c r="E80" s="16"/>
      <c r="F80" s="18"/>
      <c r="G80" s="18"/>
      <c r="H80" s="37" t="str">
        <f>IFERROR(VLOOKUP(F80,'Product Spec'!B:D,2,FALSE)," ")</f>
        <v xml:space="preserve"> </v>
      </c>
      <c r="I80" s="37" t="str">
        <f>IFERROR(C80*H80*P80*MIN(1,2.4/E80)," ")</f>
        <v xml:space="preserve"> </v>
      </c>
      <c r="J80" s="37" t="str">
        <f>IFERROR(VLOOKUP(F80,'Product Spec'!B:D,3,FALSE)," ")</f>
        <v xml:space="preserve"> </v>
      </c>
      <c r="K80" s="43" t="str">
        <f>IFERROR(C80*J80*P80*MIN(1,2.4/E80)," ")</f>
        <v xml:space="preserve"> </v>
      </c>
      <c r="P80" s="8">
        <f>IF(OR(D80=30,D80=45,D80=60),Q80,COS(R80))</f>
        <v>1</v>
      </c>
      <c r="Q80" s="8" t="e" cm="1">
        <f t="array" ref="Q80">_xlfn.IFS(D80=30,0.87,D80=45,0.7,D80=60,0.5)</f>
        <v>#N/A</v>
      </c>
      <c r="R80" s="8">
        <f>(PI()/180)*D80</f>
        <v>0</v>
      </c>
      <c r="S80" s="8" t="e">
        <f>H86/H87</f>
        <v>#N/A</v>
      </c>
      <c r="V80" s="8">
        <f xml:space="preserve"> C87*15</f>
        <v>0</v>
      </c>
    </row>
    <row r="81" spans="1:22" ht="15" customHeight="1" x14ac:dyDescent="0.25">
      <c r="A81" s="236"/>
      <c r="B81" s="20" t="s">
        <v>200</v>
      </c>
      <c r="C81" s="19"/>
      <c r="D81" s="17"/>
      <c r="E81" s="16"/>
      <c r="F81" s="18"/>
      <c r="G81" s="18"/>
      <c r="H81" s="37" t="str">
        <f>IFERROR(VLOOKUP(F81,'Product Spec'!B:D,2,FALSE)," ")</f>
        <v xml:space="preserve"> </v>
      </c>
      <c r="I81" s="37" t="str">
        <f t="shared" ref="I81:I85" si="24">IFERROR(C81*H81*P81*MIN(1,2.4/E81)," ")</f>
        <v xml:space="preserve"> </v>
      </c>
      <c r="J81" s="37" t="str">
        <f>IFERROR(VLOOKUP(F81,'Product Spec'!B:D,3,FALSE)," ")</f>
        <v xml:space="preserve"> </v>
      </c>
      <c r="K81" s="43" t="str">
        <f t="shared" ref="K81:K85" si="25">IFERROR(C81*J81*P81*MIN(1,2.4/E81)," ")</f>
        <v xml:space="preserve"> </v>
      </c>
      <c r="P81" s="8">
        <f t="shared" ref="P81:P85" si="26">IF(OR(D81=30,D81=45,D81=60),Q81,COS(R81))</f>
        <v>1</v>
      </c>
      <c r="Q81" s="8" t="e" cm="1">
        <f t="array" ref="Q81">_xlfn.IFS(D81=30,0.87,D81=45,0.7,D81=60,0.5)</f>
        <v>#N/A</v>
      </c>
      <c r="R81" s="8">
        <f t="shared" ref="R81:R85" si="27">(PI()/180)*D81</f>
        <v>0</v>
      </c>
      <c r="S81" s="8">
        <f>J86/J87</f>
        <v>0</v>
      </c>
    </row>
    <row r="82" spans="1:22" ht="15" customHeight="1" x14ac:dyDescent="0.25">
      <c r="A82" s="236"/>
      <c r="B82" s="20" t="s">
        <v>201</v>
      </c>
      <c r="C82" s="19"/>
      <c r="D82" s="17"/>
      <c r="E82" s="16"/>
      <c r="F82" s="18"/>
      <c r="G82" s="18"/>
      <c r="H82" s="37" t="str">
        <f>IFERROR(VLOOKUP(F82,'Product Spec'!B:D,2,FALSE)," ")</f>
        <v xml:space="preserve"> </v>
      </c>
      <c r="I82" s="37" t="str">
        <f t="shared" si="24"/>
        <v xml:space="preserve"> </v>
      </c>
      <c r="J82" s="37" t="str">
        <f>IFERROR(VLOOKUP(F82,'Product Spec'!B:D,3,FALSE)," ")</f>
        <v xml:space="preserve"> </v>
      </c>
      <c r="K82" s="43" t="str">
        <f t="shared" si="25"/>
        <v xml:space="preserve"> </v>
      </c>
      <c r="P82" s="8">
        <f t="shared" si="26"/>
        <v>1</v>
      </c>
      <c r="Q82" s="8" t="e" cm="1">
        <f t="array" ref="Q82">_xlfn.IFS(D82=30,0.87,D82=45,0.7,D82=60,0.5)</f>
        <v>#N/A</v>
      </c>
      <c r="R82" s="8">
        <f t="shared" si="27"/>
        <v>0</v>
      </c>
    </row>
    <row r="83" spans="1:22" ht="15" customHeight="1" x14ac:dyDescent="0.25">
      <c r="A83" s="236"/>
      <c r="B83" s="20" t="s">
        <v>202</v>
      </c>
      <c r="C83" s="19"/>
      <c r="D83" s="17"/>
      <c r="E83" s="16"/>
      <c r="F83" s="18"/>
      <c r="G83" s="18"/>
      <c r="H83" s="37" t="str">
        <f>IFERROR(VLOOKUP(F83,'Product Spec'!B:D,2,FALSE)," ")</f>
        <v xml:space="preserve"> </v>
      </c>
      <c r="I83" s="37" t="str">
        <f t="shared" si="24"/>
        <v xml:space="preserve"> </v>
      </c>
      <c r="J83" s="37" t="str">
        <f>IFERROR(VLOOKUP(F83,'Product Spec'!B:D,3,FALSE)," ")</f>
        <v xml:space="preserve"> </v>
      </c>
      <c r="K83" s="43" t="str">
        <f t="shared" si="25"/>
        <v xml:space="preserve"> </v>
      </c>
      <c r="P83" s="8">
        <f t="shared" si="26"/>
        <v>1</v>
      </c>
      <c r="Q83" s="8" t="e" cm="1">
        <f t="array" ref="Q83">_xlfn.IFS(D83=30,0.87,D83=45,0.7,D83=60,0.5)</f>
        <v>#N/A</v>
      </c>
      <c r="R83" s="8">
        <f t="shared" si="27"/>
        <v>0</v>
      </c>
    </row>
    <row r="84" spans="1:22" ht="15" customHeight="1" x14ac:dyDescent="0.25">
      <c r="A84" s="236"/>
      <c r="B84" s="20" t="s">
        <v>203</v>
      </c>
      <c r="C84" s="19"/>
      <c r="D84" s="17"/>
      <c r="E84" s="16"/>
      <c r="F84" s="18"/>
      <c r="G84" s="18"/>
      <c r="H84" s="37" t="str">
        <f>IFERROR(VLOOKUP(F84,'Product Spec'!B:D,2,FALSE)," ")</f>
        <v xml:space="preserve"> </v>
      </c>
      <c r="I84" s="37" t="str">
        <f t="shared" si="24"/>
        <v xml:space="preserve"> </v>
      </c>
      <c r="J84" s="37" t="str">
        <f>IFERROR(VLOOKUP(F84,'Product Spec'!B:D,3,FALSE)," ")</f>
        <v xml:space="preserve"> </v>
      </c>
      <c r="K84" s="43" t="str">
        <f t="shared" si="25"/>
        <v xml:space="preserve"> </v>
      </c>
      <c r="P84" s="8">
        <f t="shared" si="26"/>
        <v>1</v>
      </c>
      <c r="Q84" s="8" t="e" cm="1">
        <f t="array" ref="Q84">_xlfn.IFS(D84=30,0.87,D84=45,0.7,D84=60,0.5)</f>
        <v>#N/A</v>
      </c>
      <c r="R84" s="8">
        <f t="shared" si="27"/>
        <v>0</v>
      </c>
    </row>
    <row r="85" spans="1:22" ht="15" customHeight="1" x14ac:dyDescent="0.25">
      <c r="A85" s="236"/>
      <c r="B85" s="20" t="s">
        <v>204</v>
      </c>
      <c r="C85" s="19"/>
      <c r="D85" s="17"/>
      <c r="E85" s="16"/>
      <c r="F85" s="18"/>
      <c r="G85" s="18"/>
      <c r="H85" s="37" t="str">
        <f>IFERROR(VLOOKUP(F85,'Product Spec'!B:D,2,FALSE)," ")</f>
        <v xml:space="preserve"> </v>
      </c>
      <c r="I85" s="37" t="str">
        <f t="shared" si="24"/>
        <v xml:space="preserve"> </v>
      </c>
      <c r="J85" s="37" t="str">
        <f>IFERROR(VLOOKUP(F85,'Product Spec'!B:D,3,FALSE)," ")</f>
        <v xml:space="preserve"> </v>
      </c>
      <c r="K85" s="43" t="str">
        <f t="shared" si="25"/>
        <v xml:space="preserve"> </v>
      </c>
      <c r="P85" s="8">
        <f t="shared" si="26"/>
        <v>1</v>
      </c>
      <c r="Q85" s="8" t="e" cm="1">
        <f t="array" ref="Q85">_xlfn.IFS(D85=30,0.87,D85=45,0.7,D85=60,0.5)</f>
        <v>#N/A</v>
      </c>
      <c r="R85" s="8">
        <f t="shared" si="27"/>
        <v>0</v>
      </c>
    </row>
    <row r="86" spans="1:22" ht="15" customHeight="1" x14ac:dyDescent="0.25">
      <c r="A86" s="236"/>
      <c r="B86" s="98" t="s">
        <v>170</v>
      </c>
      <c r="C86" s="99"/>
      <c r="D86" s="99"/>
      <c r="E86" s="99"/>
      <c r="F86" s="99"/>
      <c r="G86" s="100"/>
      <c r="H86" s="179" cm="1">
        <f t="array" ref="H86">IF(D8&lt;7,0,SUM(IFERROR(I80:I85,0)))</f>
        <v>0</v>
      </c>
      <c r="I86" s="180"/>
      <c r="J86" s="179" cm="1">
        <f t="array" ref="J86">IF(D8&lt;7,0,SUM(IFERROR(K80:K85,0)))</f>
        <v>0</v>
      </c>
      <c r="K86" s="181"/>
    </row>
    <row r="87" spans="1:22" ht="15" customHeight="1" x14ac:dyDescent="0.25">
      <c r="A87" s="44" t="s">
        <v>168</v>
      </c>
      <c r="B87" s="160"/>
      <c r="C87" s="161"/>
      <c r="D87" s="99" t="s">
        <v>166</v>
      </c>
      <c r="E87" s="99"/>
      <c r="F87" s="99"/>
      <c r="G87" s="100"/>
      <c r="H87" s="150" t="e">
        <f>MAX(100,(0.5*$D$3)/$D$8,V80)</f>
        <v>#N/A</v>
      </c>
      <c r="I87" s="151"/>
      <c r="J87" s="150">
        <f>MAX(100,(0.5*$I$3)/$D$8,V80)</f>
        <v>100</v>
      </c>
      <c r="K87" s="152"/>
    </row>
    <row r="88" spans="1:22" customFormat="1" ht="15" customHeight="1" x14ac:dyDescent="0.25">
      <c r="A88" s="153" t="e">
        <f>IF(OR(S80&lt;1,S81&lt;1),"Warning: Doesn’t meet the minimum BU's requirement per line."," ")</f>
        <v>#N/A</v>
      </c>
      <c r="B88" s="154"/>
      <c r="C88" s="154"/>
      <c r="D88" s="154"/>
      <c r="E88" s="154"/>
      <c r="F88" s="154"/>
      <c r="G88" s="154"/>
      <c r="H88" s="154"/>
      <c r="I88" s="154"/>
      <c r="J88" s="154"/>
      <c r="K88" s="155"/>
      <c r="L88" s="45"/>
    </row>
    <row r="89" spans="1:22" ht="15" customHeight="1" x14ac:dyDescent="0.25">
      <c r="A89" s="156"/>
      <c r="B89" s="157"/>
      <c r="C89" s="157"/>
      <c r="D89" s="157"/>
      <c r="E89" s="157"/>
      <c r="F89" s="157"/>
      <c r="G89" s="157"/>
      <c r="H89" s="157"/>
      <c r="I89" s="157"/>
      <c r="J89" s="157"/>
      <c r="K89" s="158"/>
      <c r="M89"/>
      <c r="N89"/>
      <c r="O89"/>
      <c r="P89"/>
      <c r="Q89"/>
      <c r="R89"/>
      <c r="S89"/>
      <c r="T89"/>
      <c r="U89"/>
      <c r="V89"/>
    </row>
    <row r="90" spans="1:22" ht="15" customHeight="1" x14ac:dyDescent="0.25">
      <c r="A90" s="42" t="s">
        <v>83</v>
      </c>
      <c r="B90" s="33" t="s">
        <v>198</v>
      </c>
      <c r="C90" s="34" t="s">
        <v>86</v>
      </c>
      <c r="D90" s="33" t="s">
        <v>87</v>
      </c>
      <c r="E90" s="33" t="s">
        <v>111</v>
      </c>
      <c r="F90" s="33" t="s">
        <v>84</v>
      </c>
      <c r="G90" s="33" t="s">
        <v>85</v>
      </c>
      <c r="H90" s="24" t="s">
        <v>165</v>
      </c>
      <c r="I90" s="24" t="s">
        <v>169</v>
      </c>
      <c r="J90" s="24" t="s">
        <v>165</v>
      </c>
      <c r="K90" s="41" t="s">
        <v>169</v>
      </c>
      <c r="V90" s="8" t="s">
        <v>164</v>
      </c>
    </row>
    <row r="91" spans="1:22" ht="15" customHeight="1" x14ac:dyDescent="0.25">
      <c r="A91" s="236" t="s">
        <v>114</v>
      </c>
      <c r="B91" s="20" t="s">
        <v>199</v>
      </c>
      <c r="C91" s="19"/>
      <c r="D91" s="17"/>
      <c r="E91" s="16"/>
      <c r="F91" s="18"/>
      <c r="G91" s="18"/>
      <c r="H91" s="37" t="str">
        <f>IFERROR(VLOOKUP(F91,'Product Spec'!B:D,2,FALSE)," ")</f>
        <v xml:space="preserve"> </v>
      </c>
      <c r="I91" s="37" t="str">
        <f>IFERROR(C91*H91*P91*MIN(1,2.4/E91)," ")</f>
        <v xml:space="preserve"> </v>
      </c>
      <c r="J91" s="37" t="str">
        <f>IFERROR(VLOOKUP(F91,'Product Spec'!B:D,3,FALSE)," ")</f>
        <v xml:space="preserve"> </v>
      </c>
      <c r="K91" s="43" t="str">
        <f>IFERROR(C91*J91*P91*MIN(1,2.4/E91)," ")</f>
        <v xml:space="preserve"> </v>
      </c>
      <c r="P91" s="8">
        <f>IF(OR(D91=30,D91=45,D91=60),Q91,COS(R91))</f>
        <v>1</v>
      </c>
      <c r="Q91" s="8" t="e" cm="1">
        <f t="array" ref="Q91">_xlfn.IFS(D91=30,0.87,D91=45,0.7,D91=60,0.5)</f>
        <v>#N/A</v>
      </c>
      <c r="R91" s="8">
        <f>(PI()/180)*D91</f>
        <v>0</v>
      </c>
      <c r="S91" s="8" t="e">
        <f>H97/H98</f>
        <v>#N/A</v>
      </c>
      <c r="V91" s="8">
        <f xml:space="preserve"> C98*15</f>
        <v>0</v>
      </c>
    </row>
    <row r="92" spans="1:22" ht="15" customHeight="1" x14ac:dyDescent="0.25">
      <c r="A92" s="236"/>
      <c r="B92" s="20" t="s">
        <v>200</v>
      </c>
      <c r="C92" s="19"/>
      <c r="D92" s="17"/>
      <c r="E92" s="16"/>
      <c r="F92" s="18"/>
      <c r="G92" s="18"/>
      <c r="H92" s="37" t="str">
        <f>IFERROR(VLOOKUP(F92,'Product Spec'!B:D,2,FALSE)," ")</f>
        <v xml:space="preserve"> </v>
      </c>
      <c r="I92" s="37" t="str">
        <f t="shared" ref="I92:I96" si="28">IFERROR(C92*H92*P92*MIN(1,2.4/E92)," ")</f>
        <v xml:space="preserve"> </v>
      </c>
      <c r="J92" s="37" t="str">
        <f>IFERROR(VLOOKUP(F92,'Product Spec'!B:D,3,FALSE)," ")</f>
        <v xml:space="preserve"> </v>
      </c>
      <c r="K92" s="43" t="str">
        <f t="shared" ref="K92:K96" si="29">IFERROR(C92*J92*P92*MIN(1,2.4/E92)," ")</f>
        <v xml:space="preserve"> </v>
      </c>
      <c r="P92" s="8">
        <f t="shared" ref="P92:P96" si="30">IF(OR(D92=30,D92=45,D92=60),Q92,COS(R92))</f>
        <v>1</v>
      </c>
      <c r="Q92" s="8" t="e" cm="1">
        <f t="array" ref="Q92">_xlfn.IFS(D92=30,0.87,D92=45,0.7,D92=60,0.5)</f>
        <v>#N/A</v>
      </c>
      <c r="R92" s="8">
        <f t="shared" ref="R92:R96" si="31">(PI()/180)*D92</f>
        <v>0</v>
      </c>
      <c r="S92" s="8">
        <f>J97/J98</f>
        <v>0</v>
      </c>
    </row>
    <row r="93" spans="1:22" ht="15" customHeight="1" x14ac:dyDescent="0.25">
      <c r="A93" s="236"/>
      <c r="B93" s="20" t="s">
        <v>201</v>
      </c>
      <c r="C93" s="19"/>
      <c r="D93" s="17"/>
      <c r="E93" s="16"/>
      <c r="F93" s="18"/>
      <c r="G93" s="18"/>
      <c r="H93" s="37" t="str">
        <f>IFERROR(VLOOKUP(F93,'Product Spec'!B:D,2,FALSE)," ")</f>
        <v xml:space="preserve"> </v>
      </c>
      <c r="I93" s="37" t="str">
        <f t="shared" si="28"/>
        <v xml:space="preserve"> </v>
      </c>
      <c r="J93" s="37" t="str">
        <f>IFERROR(VLOOKUP(F93,'Product Spec'!B:D,3,FALSE)," ")</f>
        <v xml:space="preserve"> </v>
      </c>
      <c r="K93" s="43" t="str">
        <f t="shared" si="29"/>
        <v xml:space="preserve"> </v>
      </c>
      <c r="P93" s="8">
        <f t="shared" si="30"/>
        <v>1</v>
      </c>
      <c r="Q93" s="8" t="e" cm="1">
        <f t="array" ref="Q93">_xlfn.IFS(D93=30,0.87,D93=45,0.7,D93=60,0.5)</f>
        <v>#N/A</v>
      </c>
      <c r="R93" s="8">
        <f t="shared" si="31"/>
        <v>0</v>
      </c>
    </row>
    <row r="94" spans="1:22" ht="15" customHeight="1" x14ac:dyDescent="0.25">
      <c r="A94" s="236"/>
      <c r="B94" s="20" t="s">
        <v>202</v>
      </c>
      <c r="C94" s="19"/>
      <c r="D94" s="17"/>
      <c r="E94" s="16"/>
      <c r="F94" s="18"/>
      <c r="G94" s="18"/>
      <c r="H94" s="37" t="str">
        <f>IFERROR(VLOOKUP(F94,'Product Spec'!B:D,2,FALSE)," ")</f>
        <v xml:space="preserve"> </v>
      </c>
      <c r="I94" s="37" t="str">
        <f t="shared" si="28"/>
        <v xml:space="preserve"> </v>
      </c>
      <c r="J94" s="37" t="str">
        <f>IFERROR(VLOOKUP(F94,'Product Spec'!B:D,3,FALSE)," ")</f>
        <v xml:space="preserve"> </v>
      </c>
      <c r="K94" s="43" t="str">
        <f t="shared" si="29"/>
        <v xml:space="preserve"> </v>
      </c>
      <c r="P94" s="8">
        <f t="shared" si="30"/>
        <v>1</v>
      </c>
      <c r="Q94" s="8" t="e" cm="1">
        <f t="array" ref="Q94">_xlfn.IFS(D94=30,0.87,D94=45,0.7,D94=60,0.5)</f>
        <v>#N/A</v>
      </c>
      <c r="R94" s="8">
        <f t="shared" si="31"/>
        <v>0</v>
      </c>
    </row>
    <row r="95" spans="1:22" ht="15" customHeight="1" x14ac:dyDescent="0.25">
      <c r="A95" s="236"/>
      <c r="B95" s="20" t="s">
        <v>203</v>
      </c>
      <c r="C95" s="19"/>
      <c r="D95" s="17"/>
      <c r="E95" s="16"/>
      <c r="F95" s="18"/>
      <c r="G95" s="18"/>
      <c r="H95" s="37" t="str">
        <f>IFERROR(VLOOKUP(F95,'Product Spec'!B:D,2,FALSE)," ")</f>
        <v xml:space="preserve"> </v>
      </c>
      <c r="I95" s="37" t="str">
        <f t="shared" si="28"/>
        <v xml:space="preserve"> </v>
      </c>
      <c r="J95" s="37" t="str">
        <f>IFERROR(VLOOKUP(F95,'Product Spec'!B:D,3,FALSE)," ")</f>
        <v xml:space="preserve"> </v>
      </c>
      <c r="K95" s="43" t="str">
        <f t="shared" si="29"/>
        <v xml:space="preserve"> </v>
      </c>
      <c r="P95" s="8">
        <f t="shared" si="30"/>
        <v>1</v>
      </c>
      <c r="Q95" s="8" t="e" cm="1">
        <f t="array" ref="Q95">_xlfn.IFS(D95=30,0.87,D95=45,0.7,D95=60,0.5)</f>
        <v>#N/A</v>
      </c>
      <c r="R95" s="8">
        <f t="shared" si="31"/>
        <v>0</v>
      </c>
    </row>
    <row r="96" spans="1:22" ht="15" customHeight="1" x14ac:dyDescent="0.25">
      <c r="A96" s="236"/>
      <c r="B96" s="20" t="s">
        <v>204</v>
      </c>
      <c r="C96" s="19"/>
      <c r="D96" s="17"/>
      <c r="E96" s="16"/>
      <c r="F96" s="18"/>
      <c r="G96" s="18"/>
      <c r="H96" s="37" t="str">
        <f>IFERROR(VLOOKUP(F96,'Product Spec'!B:D,2,FALSE)," ")</f>
        <v xml:space="preserve"> </v>
      </c>
      <c r="I96" s="37" t="str">
        <f t="shared" si="28"/>
        <v xml:space="preserve"> </v>
      </c>
      <c r="J96" s="37" t="str">
        <f>IFERROR(VLOOKUP(F96,'Product Spec'!B:D,3,FALSE)," ")</f>
        <v xml:space="preserve"> </v>
      </c>
      <c r="K96" s="43" t="str">
        <f t="shared" si="29"/>
        <v xml:space="preserve"> </v>
      </c>
      <c r="P96" s="8">
        <f t="shared" si="30"/>
        <v>1</v>
      </c>
      <c r="Q96" s="8" t="e" cm="1">
        <f t="array" ref="Q96">_xlfn.IFS(D96=30,0.87,D96=45,0.7,D96=60,0.5)</f>
        <v>#N/A</v>
      </c>
      <c r="R96" s="8">
        <f t="shared" si="31"/>
        <v>0</v>
      </c>
    </row>
    <row r="97" spans="1:22" ht="15" customHeight="1" x14ac:dyDescent="0.25">
      <c r="A97" s="236"/>
      <c r="B97" s="98" t="s">
        <v>170</v>
      </c>
      <c r="C97" s="99"/>
      <c r="D97" s="99"/>
      <c r="E97" s="99"/>
      <c r="F97" s="99"/>
      <c r="G97" s="100"/>
      <c r="H97" s="179" cm="1">
        <f t="array" ref="H97">IF(D8&lt;8,0,SUM(IFERROR(I91:I96,0)))</f>
        <v>0</v>
      </c>
      <c r="I97" s="180"/>
      <c r="J97" s="179" cm="1">
        <f t="array" ref="J97">IF(D8&lt;8,0,SUM(IFERROR(K91:K96,0)))</f>
        <v>0</v>
      </c>
      <c r="K97" s="181"/>
    </row>
    <row r="98" spans="1:22" ht="15" customHeight="1" x14ac:dyDescent="0.25">
      <c r="A98" s="44" t="s">
        <v>168</v>
      </c>
      <c r="B98" s="160"/>
      <c r="C98" s="161"/>
      <c r="D98" s="99" t="s">
        <v>166</v>
      </c>
      <c r="E98" s="99"/>
      <c r="F98" s="99"/>
      <c r="G98" s="100"/>
      <c r="H98" s="150" t="e">
        <f>MAX(100,(0.5*$D$3)/$D$8,V91)</f>
        <v>#N/A</v>
      </c>
      <c r="I98" s="151"/>
      <c r="J98" s="150">
        <f>MAX(100,(0.5*$I$3)/$D$8,V91)</f>
        <v>100</v>
      </c>
      <c r="K98" s="152"/>
    </row>
    <row r="99" spans="1:22" customFormat="1" ht="15" customHeight="1" x14ac:dyDescent="0.25">
      <c r="A99" s="153" t="e">
        <f>IF(OR(S91&lt;1,S92&lt;1),"Warning: Doesn’t meet the minimum BU's requirement per line."," ")</f>
        <v>#N/A</v>
      </c>
      <c r="B99" s="154"/>
      <c r="C99" s="154"/>
      <c r="D99" s="154"/>
      <c r="E99" s="154"/>
      <c r="F99" s="154"/>
      <c r="G99" s="154"/>
      <c r="H99" s="154"/>
      <c r="I99" s="154"/>
      <c r="J99" s="154"/>
      <c r="K99" s="155"/>
      <c r="L99" s="45"/>
    </row>
    <row r="100" spans="1:22" ht="15" customHeight="1" x14ac:dyDescent="0.25">
      <c r="A100" s="156"/>
      <c r="B100" s="157"/>
      <c r="C100" s="157"/>
      <c r="D100" s="157"/>
      <c r="E100" s="157"/>
      <c r="F100" s="157"/>
      <c r="G100" s="157"/>
      <c r="H100" s="157"/>
      <c r="I100" s="157"/>
      <c r="J100" s="157"/>
      <c r="K100" s="158"/>
      <c r="M100"/>
      <c r="N100"/>
      <c r="O100"/>
      <c r="P100"/>
      <c r="Q100"/>
      <c r="R100"/>
      <c r="S100"/>
      <c r="T100"/>
      <c r="U100"/>
      <c r="V100"/>
    </row>
    <row r="101" spans="1:22" ht="15" customHeight="1" x14ac:dyDescent="0.25">
      <c r="A101" s="42" t="s">
        <v>83</v>
      </c>
      <c r="B101" s="33" t="s">
        <v>198</v>
      </c>
      <c r="C101" s="34" t="s">
        <v>86</v>
      </c>
      <c r="D101" s="33" t="s">
        <v>87</v>
      </c>
      <c r="E101" s="33" t="s">
        <v>111</v>
      </c>
      <c r="F101" s="33" t="s">
        <v>84</v>
      </c>
      <c r="G101" s="33" t="s">
        <v>85</v>
      </c>
      <c r="H101" s="24" t="s">
        <v>165</v>
      </c>
      <c r="I101" s="24" t="s">
        <v>169</v>
      </c>
      <c r="J101" s="24" t="s">
        <v>165</v>
      </c>
      <c r="K101" s="41" t="s">
        <v>169</v>
      </c>
      <c r="V101" s="8" t="s">
        <v>164</v>
      </c>
    </row>
    <row r="102" spans="1:22" ht="15" customHeight="1" x14ac:dyDescent="0.25">
      <c r="A102" s="236" t="s">
        <v>116</v>
      </c>
      <c r="B102" s="20" t="s">
        <v>199</v>
      </c>
      <c r="C102" s="19"/>
      <c r="D102" s="17"/>
      <c r="E102" s="16"/>
      <c r="F102" s="18"/>
      <c r="G102" s="18"/>
      <c r="H102" s="37" t="str">
        <f>IFERROR(VLOOKUP(F102,'Product Spec'!B:D,2,FALSE)," ")</f>
        <v xml:space="preserve"> </v>
      </c>
      <c r="I102" s="37" t="str">
        <f>IFERROR(C102*H102*P102*MIN(1,2.4/E102)," ")</f>
        <v xml:space="preserve"> </v>
      </c>
      <c r="J102" s="37" t="str">
        <f>IFERROR(VLOOKUP(F102,'Product Spec'!B:D,3,FALSE)," ")</f>
        <v xml:space="preserve"> </v>
      </c>
      <c r="K102" s="43" t="str">
        <f>IFERROR(C102*J102*P102*MIN(1,2.4/E102)," ")</f>
        <v xml:space="preserve"> </v>
      </c>
      <c r="P102" s="8">
        <f>IF(OR(D102=30,D102=45,D102=60),Q102,COS(R102))</f>
        <v>1</v>
      </c>
      <c r="Q102" s="8" t="e" cm="1">
        <f t="array" ref="Q102">_xlfn.IFS(D102=30,0.87,D102=45,0.7,D102=60,0.5)</f>
        <v>#N/A</v>
      </c>
      <c r="R102" s="8">
        <f>(PI()/180)*D102</f>
        <v>0</v>
      </c>
      <c r="S102" s="8" t="e">
        <f>H108/H109</f>
        <v>#N/A</v>
      </c>
      <c r="V102" s="8">
        <f xml:space="preserve"> C109*15</f>
        <v>0</v>
      </c>
    </row>
    <row r="103" spans="1:22" ht="15" customHeight="1" x14ac:dyDescent="0.25">
      <c r="A103" s="236"/>
      <c r="B103" s="20" t="s">
        <v>200</v>
      </c>
      <c r="C103" s="19"/>
      <c r="D103" s="17"/>
      <c r="E103" s="16"/>
      <c r="F103" s="18"/>
      <c r="G103" s="18" t="s">
        <v>134</v>
      </c>
      <c r="H103" s="37" t="str">
        <f>IFERROR(VLOOKUP(F103,'Product Spec'!B:D,2,FALSE)," ")</f>
        <v xml:space="preserve"> </v>
      </c>
      <c r="I103" s="37" t="str">
        <f t="shared" ref="I103:I107" si="32">IFERROR(C103*H103*P103*MIN(1,2.4/E103)," ")</f>
        <v xml:space="preserve"> </v>
      </c>
      <c r="J103" s="37" t="str">
        <f>IFERROR(VLOOKUP(F103,'Product Spec'!B:D,3,FALSE)," ")</f>
        <v xml:space="preserve"> </v>
      </c>
      <c r="K103" s="43" t="str">
        <f t="shared" ref="K103:K107" si="33">IFERROR(C103*J103*P103*MIN(1,2.4/E103)," ")</f>
        <v xml:space="preserve"> </v>
      </c>
      <c r="P103" s="8">
        <f t="shared" ref="P103:P107" si="34">IF(OR(D103=30,D103=45,D103=60),Q103,COS(R103))</f>
        <v>1</v>
      </c>
      <c r="Q103" s="8" t="e" cm="1">
        <f t="array" ref="Q103">_xlfn.IFS(D103=30,0.87,D103=45,0.7,D103=60,0.5)</f>
        <v>#N/A</v>
      </c>
      <c r="R103" s="8">
        <f t="shared" ref="R103:R107" si="35">(PI()/180)*D103</f>
        <v>0</v>
      </c>
      <c r="S103" s="8">
        <f>J108/J109</f>
        <v>0</v>
      </c>
    </row>
    <row r="104" spans="1:22" ht="15" customHeight="1" x14ac:dyDescent="0.25">
      <c r="A104" s="236"/>
      <c r="B104" s="20" t="s">
        <v>201</v>
      </c>
      <c r="C104" s="19"/>
      <c r="D104" s="17"/>
      <c r="E104" s="16"/>
      <c r="F104" s="18"/>
      <c r="G104" s="18"/>
      <c r="H104" s="37" t="str">
        <f>IFERROR(VLOOKUP(F104,'Product Spec'!B:D,2,FALSE)," ")</f>
        <v xml:space="preserve"> </v>
      </c>
      <c r="I104" s="37" t="str">
        <f t="shared" si="32"/>
        <v xml:space="preserve"> </v>
      </c>
      <c r="J104" s="37" t="str">
        <f>IFERROR(VLOOKUP(F104,'Product Spec'!B:D,3,FALSE)," ")</f>
        <v xml:space="preserve"> </v>
      </c>
      <c r="K104" s="43" t="str">
        <f t="shared" si="33"/>
        <v xml:space="preserve"> </v>
      </c>
      <c r="P104" s="8">
        <f t="shared" si="34"/>
        <v>1</v>
      </c>
      <c r="Q104" s="8" t="e" cm="1">
        <f t="array" ref="Q104">_xlfn.IFS(D104=30,0.87,D104=45,0.7,D104=60,0.5)</f>
        <v>#N/A</v>
      </c>
      <c r="R104" s="8">
        <f t="shared" si="35"/>
        <v>0</v>
      </c>
    </row>
    <row r="105" spans="1:22" ht="15" customHeight="1" x14ac:dyDescent="0.25">
      <c r="A105" s="236"/>
      <c r="B105" s="20" t="s">
        <v>202</v>
      </c>
      <c r="C105" s="19"/>
      <c r="D105" s="17"/>
      <c r="E105" s="16"/>
      <c r="F105" s="18"/>
      <c r="G105" s="18"/>
      <c r="H105" s="37" t="str">
        <f>IFERROR(VLOOKUP(F105,'Product Spec'!B:D,2,FALSE)," ")</f>
        <v xml:space="preserve"> </v>
      </c>
      <c r="I105" s="37" t="str">
        <f t="shared" si="32"/>
        <v xml:space="preserve"> </v>
      </c>
      <c r="J105" s="37" t="str">
        <f>IFERROR(VLOOKUP(F105,'Product Spec'!B:D,3,FALSE)," ")</f>
        <v xml:space="preserve"> </v>
      </c>
      <c r="K105" s="43" t="str">
        <f t="shared" si="33"/>
        <v xml:space="preserve"> </v>
      </c>
      <c r="P105" s="8">
        <f t="shared" si="34"/>
        <v>1</v>
      </c>
      <c r="Q105" s="8" t="e" cm="1">
        <f t="array" ref="Q105">_xlfn.IFS(D105=30,0.87,D105=45,0.7,D105=60,0.5)</f>
        <v>#N/A</v>
      </c>
      <c r="R105" s="8">
        <f t="shared" si="35"/>
        <v>0</v>
      </c>
    </row>
    <row r="106" spans="1:22" ht="15" customHeight="1" x14ac:dyDescent="0.25">
      <c r="A106" s="236"/>
      <c r="B106" s="20" t="s">
        <v>203</v>
      </c>
      <c r="C106" s="19"/>
      <c r="D106" s="17"/>
      <c r="E106" s="16"/>
      <c r="F106" s="18"/>
      <c r="G106" s="18"/>
      <c r="H106" s="37" t="str">
        <f>IFERROR(VLOOKUP(F106,'Product Spec'!B:D,2,FALSE)," ")</f>
        <v xml:space="preserve"> </v>
      </c>
      <c r="I106" s="37" t="str">
        <f t="shared" si="32"/>
        <v xml:space="preserve"> </v>
      </c>
      <c r="J106" s="37" t="str">
        <f>IFERROR(VLOOKUP(F106,'Product Spec'!B:D,3,FALSE)," ")</f>
        <v xml:space="preserve"> </v>
      </c>
      <c r="K106" s="43" t="str">
        <f t="shared" si="33"/>
        <v xml:space="preserve"> </v>
      </c>
      <c r="P106" s="8">
        <f t="shared" si="34"/>
        <v>1</v>
      </c>
      <c r="Q106" s="8" t="e" cm="1">
        <f t="array" ref="Q106">_xlfn.IFS(D106=30,0.87,D106=45,0.7,D106=60,0.5)</f>
        <v>#N/A</v>
      </c>
      <c r="R106" s="8">
        <f t="shared" si="35"/>
        <v>0</v>
      </c>
    </row>
    <row r="107" spans="1:22" ht="15" customHeight="1" x14ac:dyDescent="0.25">
      <c r="A107" s="236"/>
      <c r="B107" s="20" t="s">
        <v>204</v>
      </c>
      <c r="C107" s="19"/>
      <c r="D107" s="17"/>
      <c r="E107" s="16"/>
      <c r="F107" s="18"/>
      <c r="G107" s="18"/>
      <c r="H107" s="37" t="str">
        <f>IFERROR(VLOOKUP(F107,'Product Spec'!B:D,2,FALSE)," ")</f>
        <v xml:space="preserve"> </v>
      </c>
      <c r="I107" s="37" t="str">
        <f t="shared" si="32"/>
        <v xml:space="preserve"> </v>
      </c>
      <c r="J107" s="37" t="str">
        <f>IFERROR(VLOOKUP(F107,'Product Spec'!B:D,3,FALSE)," ")</f>
        <v xml:space="preserve"> </v>
      </c>
      <c r="K107" s="43" t="str">
        <f t="shared" si="33"/>
        <v xml:space="preserve"> </v>
      </c>
      <c r="P107" s="8">
        <f t="shared" si="34"/>
        <v>1</v>
      </c>
      <c r="Q107" s="8" t="e" cm="1">
        <f t="array" ref="Q107">_xlfn.IFS(D107=30,0.87,D107=45,0.7,D107=60,0.5)</f>
        <v>#N/A</v>
      </c>
      <c r="R107" s="8">
        <f t="shared" si="35"/>
        <v>0</v>
      </c>
    </row>
    <row r="108" spans="1:22" ht="15" customHeight="1" x14ac:dyDescent="0.25">
      <c r="A108" s="236"/>
      <c r="B108" s="98" t="s">
        <v>170</v>
      </c>
      <c r="C108" s="99"/>
      <c r="D108" s="99"/>
      <c r="E108" s="99"/>
      <c r="F108" s="99"/>
      <c r="G108" s="100"/>
      <c r="H108" s="179" cm="1">
        <f t="array" ref="H108">IF(D8&lt;9,0,SUM(IFERROR(I102:I107,0)))</f>
        <v>0</v>
      </c>
      <c r="I108" s="180"/>
      <c r="J108" s="179" cm="1">
        <f t="array" ref="J108">IF(D8&lt;9,0,SUM(IFERROR(K102:K107,0)))</f>
        <v>0</v>
      </c>
      <c r="K108" s="181"/>
    </row>
    <row r="109" spans="1:22" ht="15" customHeight="1" x14ac:dyDescent="0.25">
      <c r="A109" s="44" t="s">
        <v>168</v>
      </c>
      <c r="B109" s="160"/>
      <c r="C109" s="161"/>
      <c r="D109" s="99" t="s">
        <v>166</v>
      </c>
      <c r="E109" s="99"/>
      <c r="F109" s="99"/>
      <c r="G109" s="100"/>
      <c r="H109" s="150" t="e">
        <f>MAX(100,(0.5*$D$3)/$D$8,V102)</f>
        <v>#N/A</v>
      </c>
      <c r="I109" s="151"/>
      <c r="J109" s="150">
        <f>MAX(100,(0.5*$I$3)/$D$8,V102)</f>
        <v>100</v>
      </c>
      <c r="K109" s="152"/>
    </row>
    <row r="110" spans="1:22" customFormat="1" ht="15" customHeight="1" x14ac:dyDescent="0.25">
      <c r="A110" s="153" t="e">
        <f>IF(OR(S102&lt;1,S103&lt;1),"Warning: Doesn’t meet the minimum BU's requirement per line."," ")</f>
        <v>#N/A</v>
      </c>
      <c r="B110" s="154"/>
      <c r="C110" s="154"/>
      <c r="D110" s="154"/>
      <c r="E110" s="154"/>
      <c r="F110" s="154"/>
      <c r="G110" s="154"/>
      <c r="H110" s="154"/>
      <c r="I110" s="154"/>
      <c r="J110" s="154"/>
      <c r="K110" s="155"/>
      <c r="L110" s="45"/>
    </row>
    <row r="111" spans="1:22" ht="15" customHeight="1" x14ac:dyDescent="0.25">
      <c r="A111" s="156"/>
      <c r="B111" s="157"/>
      <c r="C111" s="157"/>
      <c r="D111" s="157"/>
      <c r="E111" s="157"/>
      <c r="F111" s="157"/>
      <c r="G111" s="157"/>
      <c r="H111" s="157"/>
      <c r="I111" s="157"/>
      <c r="J111" s="157"/>
      <c r="K111" s="158"/>
      <c r="M111"/>
      <c r="N111"/>
      <c r="O111"/>
      <c r="P111"/>
      <c r="Q111"/>
      <c r="R111"/>
      <c r="S111"/>
      <c r="T111"/>
      <c r="U111"/>
      <c r="V111"/>
    </row>
    <row r="112" spans="1:22" ht="15" customHeight="1" x14ac:dyDescent="0.25">
      <c r="A112" s="42" t="s">
        <v>83</v>
      </c>
      <c r="B112" s="33" t="s">
        <v>198</v>
      </c>
      <c r="C112" s="34" t="s">
        <v>86</v>
      </c>
      <c r="D112" s="33" t="s">
        <v>87</v>
      </c>
      <c r="E112" s="33" t="s">
        <v>111</v>
      </c>
      <c r="F112" s="33" t="s">
        <v>84</v>
      </c>
      <c r="G112" s="33" t="s">
        <v>85</v>
      </c>
      <c r="H112" s="24" t="s">
        <v>165</v>
      </c>
      <c r="I112" s="24" t="s">
        <v>169</v>
      </c>
      <c r="J112" s="24" t="s">
        <v>165</v>
      </c>
      <c r="K112" s="41" t="s">
        <v>169</v>
      </c>
      <c r="V112" s="8" t="s">
        <v>164</v>
      </c>
    </row>
    <row r="113" spans="1:22" ht="15" customHeight="1" x14ac:dyDescent="0.25">
      <c r="A113" s="236" t="s">
        <v>115</v>
      </c>
      <c r="B113" s="20" t="s">
        <v>199</v>
      </c>
      <c r="C113" s="19"/>
      <c r="D113" s="17"/>
      <c r="E113" s="16"/>
      <c r="F113" s="18"/>
      <c r="G113" s="18"/>
      <c r="H113" s="37" t="str">
        <f>IFERROR(VLOOKUP(F113,'Product Spec'!B:D,2,FALSE)," ")</f>
        <v xml:space="preserve"> </v>
      </c>
      <c r="I113" s="37" t="str">
        <f>IFERROR(C113*H113*P113*MIN(1,2.4/E113)," ")</f>
        <v xml:space="preserve"> </v>
      </c>
      <c r="J113" s="37" t="str">
        <f>IFERROR(VLOOKUP(F113,'Product Spec'!B:D,3,FALSE)," ")</f>
        <v xml:space="preserve"> </v>
      </c>
      <c r="K113" s="43" t="str">
        <f>IFERROR(C113*J113*P113*MIN(1,2.4/E113)," ")</f>
        <v xml:space="preserve"> </v>
      </c>
      <c r="P113" s="8">
        <f>IF(OR(D113=30,D113=45,D113=60),Q113,COS(R113))</f>
        <v>1</v>
      </c>
      <c r="Q113" s="8" t="e" cm="1">
        <f t="array" ref="Q113">_xlfn.IFS(D113=30,0.87,D113=45,0.7,D113=60,0.5)</f>
        <v>#N/A</v>
      </c>
      <c r="R113" s="8">
        <f>(PI()/180)*D113</f>
        <v>0</v>
      </c>
      <c r="S113" s="8" t="e">
        <f>H119/H120</f>
        <v>#N/A</v>
      </c>
      <c r="V113" s="8">
        <f xml:space="preserve"> C120*15</f>
        <v>0</v>
      </c>
    </row>
    <row r="114" spans="1:22" ht="15" customHeight="1" x14ac:dyDescent="0.25">
      <c r="A114" s="236"/>
      <c r="B114" s="20" t="s">
        <v>200</v>
      </c>
      <c r="C114" s="19"/>
      <c r="D114" s="17"/>
      <c r="E114" s="16"/>
      <c r="F114" s="18"/>
      <c r="G114" s="18"/>
      <c r="H114" s="37" t="str">
        <f>IFERROR(VLOOKUP(F114,'Product Spec'!B:D,2,FALSE)," ")</f>
        <v xml:space="preserve"> </v>
      </c>
      <c r="I114" s="37" t="str">
        <f t="shared" ref="I114:I118" si="36">IFERROR(C114*H114*P114*MIN(1,2.4/E114)," ")</f>
        <v xml:space="preserve"> </v>
      </c>
      <c r="J114" s="37" t="str">
        <f>IFERROR(VLOOKUP(F114,'Product Spec'!B:D,3,FALSE)," ")</f>
        <v xml:space="preserve"> </v>
      </c>
      <c r="K114" s="43" t="str">
        <f t="shared" ref="K114:K118" si="37">IFERROR(C114*J114*P114*MIN(1,2.4/E114)," ")</f>
        <v xml:space="preserve"> </v>
      </c>
      <c r="P114" s="8">
        <f t="shared" ref="P114:P118" si="38">IF(OR(D114=30,D114=45,D114=60),Q114,COS(R114))</f>
        <v>1</v>
      </c>
      <c r="Q114" s="8" t="e" cm="1">
        <f t="array" ref="Q114">_xlfn.IFS(D114=30,0.87,D114=45,0.7,D114=60,0.5)</f>
        <v>#N/A</v>
      </c>
      <c r="R114" s="8">
        <f t="shared" ref="R114:R118" si="39">(PI()/180)*D114</f>
        <v>0</v>
      </c>
      <c r="S114" s="8">
        <f>J119/J120</f>
        <v>0</v>
      </c>
    </row>
    <row r="115" spans="1:22" ht="15" customHeight="1" x14ac:dyDescent="0.25">
      <c r="A115" s="236"/>
      <c r="B115" s="20" t="s">
        <v>201</v>
      </c>
      <c r="C115" s="19"/>
      <c r="D115" s="17"/>
      <c r="E115" s="16"/>
      <c r="F115" s="18"/>
      <c r="G115" s="18"/>
      <c r="H115" s="37" t="str">
        <f>IFERROR(VLOOKUP(F115,'Product Spec'!B:D,2,FALSE)," ")</f>
        <v xml:space="preserve"> </v>
      </c>
      <c r="I115" s="37" t="str">
        <f t="shared" si="36"/>
        <v xml:space="preserve"> </v>
      </c>
      <c r="J115" s="37" t="str">
        <f>IFERROR(VLOOKUP(F115,'Product Spec'!B:D,3,FALSE)," ")</f>
        <v xml:space="preserve"> </v>
      </c>
      <c r="K115" s="43" t="str">
        <f t="shared" si="37"/>
        <v xml:space="preserve"> </v>
      </c>
      <c r="P115" s="8">
        <f t="shared" si="38"/>
        <v>1</v>
      </c>
      <c r="Q115" s="8" t="e" cm="1">
        <f t="array" ref="Q115">_xlfn.IFS(D115=30,0.87,D115=45,0.7,D115=60,0.5)</f>
        <v>#N/A</v>
      </c>
      <c r="R115" s="8">
        <f t="shared" si="39"/>
        <v>0</v>
      </c>
    </row>
    <row r="116" spans="1:22" ht="15" customHeight="1" x14ac:dyDescent="0.25">
      <c r="A116" s="236"/>
      <c r="B116" s="20" t="s">
        <v>202</v>
      </c>
      <c r="C116" s="19"/>
      <c r="D116" s="17"/>
      <c r="E116" s="16"/>
      <c r="F116" s="18"/>
      <c r="G116" s="18"/>
      <c r="H116" s="37" t="str">
        <f>IFERROR(VLOOKUP(F116,'Product Spec'!B:D,2,FALSE)," ")</f>
        <v xml:space="preserve"> </v>
      </c>
      <c r="I116" s="37" t="str">
        <f t="shared" si="36"/>
        <v xml:space="preserve"> </v>
      </c>
      <c r="J116" s="37" t="str">
        <f>IFERROR(VLOOKUP(F116,'Product Spec'!B:D,3,FALSE)," ")</f>
        <v xml:space="preserve"> </v>
      </c>
      <c r="K116" s="43" t="str">
        <f t="shared" si="37"/>
        <v xml:space="preserve"> </v>
      </c>
      <c r="P116" s="8">
        <f t="shared" si="38"/>
        <v>1</v>
      </c>
      <c r="Q116" s="8" t="e" cm="1">
        <f t="array" ref="Q116">_xlfn.IFS(D116=30,0.87,D116=45,0.7,D116=60,0.5)</f>
        <v>#N/A</v>
      </c>
      <c r="R116" s="8">
        <f t="shared" si="39"/>
        <v>0</v>
      </c>
    </row>
    <row r="117" spans="1:22" ht="15" customHeight="1" x14ac:dyDescent="0.25">
      <c r="A117" s="236"/>
      <c r="B117" s="20" t="s">
        <v>203</v>
      </c>
      <c r="C117" s="19"/>
      <c r="D117" s="17"/>
      <c r="E117" s="16"/>
      <c r="F117" s="18"/>
      <c r="G117" s="18"/>
      <c r="H117" s="37" t="str">
        <f>IFERROR(VLOOKUP(F117,'Product Spec'!B:D,2,FALSE)," ")</f>
        <v xml:space="preserve"> </v>
      </c>
      <c r="I117" s="37" t="str">
        <f t="shared" si="36"/>
        <v xml:space="preserve"> </v>
      </c>
      <c r="J117" s="37" t="str">
        <f>IFERROR(VLOOKUP(F117,'Product Spec'!B:D,3,FALSE)," ")</f>
        <v xml:space="preserve"> </v>
      </c>
      <c r="K117" s="43" t="str">
        <f t="shared" si="37"/>
        <v xml:space="preserve"> </v>
      </c>
      <c r="P117" s="8">
        <f t="shared" si="38"/>
        <v>1</v>
      </c>
      <c r="Q117" s="8" t="e" cm="1">
        <f t="array" ref="Q117">_xlfn.IFS(D117=30,0.87,D117=45,0.7,D117=60,0.5)</f>
        <v>#N/A</v>
      </c>
      <c r="R117" s="8">
        <f t="shared" si="39"/>
        <v>0</v>
      </c>
    </row>
    <row r="118" spans="1:22" ht="15" customHeight="1" x14ac:dyDescent="0.25">
      <c r="A118" s="236"/>
      <c r="B118" s="20" t="s">
        <v>204</v>
      </c>
      <c r="C118" s="19"/>
      <c r="D118" s="17"/>
      <c r="E118" s="16"/>
      <c r="F118" s="18"/>
      <c r="G118" s="18"/>
      <c r="H118" s="37" t="str">
        <f>IFERROR(VLOOKUP(F118,'Product Spec'!B:D,2,FALSE)," ")</f>
        <v xml:space="preserve"> </v>
      </c>
      <c r="I118" s="37" t="str">
        <f t="shared" si="36"/>
        <v xml:space="preserve"> </v>
      </c>
      <c r="J118" s="37" t="str">
        <f>IFERROR(VLOOKUP(F118,'Product Spec'!B:D,3,FALSE)," ")</f>
        <v xml:space="preserve"> </v>
      </c>
      <c r="K118" s="43" t="str">
        <f t="shared" si="37"/>
        <v xml:space="preserve"> </v>
      </c>
      <c r="P118" s="8">
        <f t="shared" si="38"/>
        <v>1</v>
      </c>
      <c r="Q118" s="8" t="e" cm="1">
        <f t="array" ref="Q118">_xlfn.IFS(D118=30,0.87,D118=45,0.7,D118=60,0.5)</f>
        <v>#N/A</v>
      </c>
      <c r="R118" s="8">
        <f t="shared" si="39"/>
        <v>0</v>
      </c>
    </row>
    <row r="119" spans="1:22" ht="15" customHeight="1" x14ac:dyDescent="0.25">
      <c r="A119" s="236"/>
      <c r="B119" s="98" t="s">
        <v>170</v>
      </c>
      <c r="C119" s="99"/>
      <c r="D119" s="99"/>
      <c r="E119" s="99"/>
      <c r="F119" s="99"/>
      <c r="G119" s="100"/>
      <c r="H119" s="179" cm="1">
        <f t="array" ref="H119">IF(D8&lt;10,0,SUM(IFERROR(I113:I118,0)))</f>
        <v>0</v>
      </c>
      <c r="I119" s="180"/>
      <c r="J119" s="179" cm="1">
        <f t="array" ref="J119">IF(D8&lt;10,0,SUM(IFERROR(K113:K118,0)))</f>
        <v>0</v>
      </c>
      <c r="K119" s="181"/>
    </row>
    <row r="120" spans="1:22" ht="15" customHeight="1" x14ac:dyDescent="0.25">
      <c r="A120" s="44" t="s">
        <v>168</v>
      </c>
      <c r="B120" s="160"/>
      <c r="C120" s="161"/>
      <c r="D120" s="99" t="s">
        <v>166</v>
      </c>
      <c r="E120" s="99"/>
      <c r="F120" s="99"/>
      <c r="G120" s="100"/>
      <c r="H120" s="150" t="e">
        <f>MAX(100,(0.5*$D$3)/$D$8,V113)</f>
        <v>#N/A</v>
      </c>
      <c r="I120" s="151"/>
      <c r="J120" s="150">
        <f>MAX(100,(0.5*$I$3)/$D$8,V113)</f>
        <v>100</v>
      </c>
      <c r="K120" s="152"/>
    </row>
    <row r="121" spans="1:22" customFormat="1" ht="15" customHeight="1" x14ac:dyDescent="0.25">
      <c r="A121" s="153" t="e">
        <f>IF(OR(S113&lt;1,S114&lt;1),"Warning: Doesn’t meet the minimum BU's requirement per line."," ")</f>
        <v>#N/A</v>
      </c>
      <c r="B121" s="154"/>
      <c r="C121" s="154"/>
      <c r="D121" s="154"/>
      <c r="E121" s="154"/>
      <c r="F121" s="154"/>
      <c r="G121" s="154"/>
      <c r="H121" s="154"/>
      <c r="I121" s="154"/>
      <c r="J121" s="154"/>
      <c r="K121" s="155"/>
      <c r="L121" s="45"/>
    </row>
    <row r="122" spans="1:22" ht="15" customHeight="1" thickBot="1" x14ac:dyDescent="0.3">
      <c r="A122" s="162"/>
      <c r="B122" s="163"/>
      <c r="C122" s="163"/>
      <c r="D122" s="163"/>
      <c r="E122" s="163"/>
      <c r="F122" s="163"/>
      <c r="G122" s="163"/>
      <c r="H122" s="163"/>
      <c r="I122" s="163"/>
      <c r="J122" s="163"/>
      <c r="K122" s="164"/>
      <c r="M122"/>
      <c r="N122"/>
      <c r="O122"/>
      <c r="P122"/>
      <c r="Q122"/>
      <c r="R122"/>
      <c r="S122"/>
      <c r="T122"/>
      <c r="U122"/>
      <c r="V122"/>
    </row>
    <row r="123" spans="1:22" ht="50.1" customHeight="1" x14ac:dyDescent="0.25">
      <c r="A123" s="173" t="s">
        <v>175</v>
      </c>
      <c r="B123" s="174"/>
      <c r="C123" s="174"/>
      <c r="D123" s="174"/>
      <c r="E123" s="174"/>
      <c r="F123" s="174"/>
      <c r="G123" s="174"/>
      <c r="H123" s="174"/>
      <c r="I123" s="174"/>
      <c r="J123" s="174"/>
      <c r="K123" s="175"/>
      <c r="M123"/>
      <c r="N123"/>
      <c r="O123"/>
      <c r="P123"/>
      <c r="Q123"/>
      <c r="R123"/>
      <c r="S123"/>
      <c r="T123"/>
      <c r="U123"/>
      <c r="V123"/>
    </row>
    <row r="124" spans="1:22" ht="26.25" customHeight="1" x14ac:dyDescent="0.25">
      <c r="A124" s="176" t="s">
        <v>103</v>
      </c>
      <c r="B124" s="177"/>
      <c r="C124" s="177"/>
      <c r="D124" s="177"/>
      <c r="E124" s="177"/>
      <c r="F124" s="177"/>
      <c r="G124" s="177" t="s">
        <v>104</v>
      </c>
      <c r="H124" s="177"/>
      <c r="I124" s="177"/>
      <c r="J124" s="177"/>
      <c r="K124" s="178"/>
      <c r="M124"/>
      <c r="N124"/>
      <c r="O124"/>
      <c r="P124"/>
      <c r="Q124"/>
      <c r="R124"/>
      <c r="S124"/>
      <c r="T124"/>
      <c r="U124"/>
      <c r="V124"/>
    </row>
    <row r="125" spans="1:22" ht="26.25" customHeight="1" x14ac:dyDescent="0.25">
      <c r="A125" s="165" t="s">
        <v>108</v>
      </c>
      <c r="B125" s="166"/>
      <c r="C125" s="166"/>
      <c r="D125" s="133" t="e">
        <f>IF('Bracing demand'!$DU$1=1,"#N/A",T1)</f>
        <v>#N/A</v>
      </c>
      <c r="E125" s="133"/>
      <c r="F125" s="33" t="s">
        <v>106</v>
      </c>
      <c r="G125" s="168" t="s">
        <v>108</v>
      </c>
      <c r="H125" s="168"/>
      <c r="I125" s="133">
        <f>IF('Bracing demand'!$DU$1=1,"#N/A",$T$2)</f>
        <v>1992</v>
      </c>
      <c r="J125" s="133"/>
      <c r="K125" s="40" t="s">
        <v>106</v>
      </c>
      <c r="M125"/>
      <c r="N125"/>
      <c r="O125"/>
      <c r="P125"/>
      <c r="Q125"/>
      <c r="R125"/>
      <c r="S125"/>
      <c r="T125"/>
      <c r="U125"/>
      <c r="V125"/>
    </row>
    <row r="126" spans="1:22" ht="26.25" customHeight="1" x14ac:dyDescent="0.25">
      <c r="A126" s="165" t="s">
        <v>109</v>
      </c>
      <c r="B126" s="166"/>
      <c r="C126" s="166"/>
      <c r="D126" s="167">
        <f>ROUND(SUM(H142,H153,H164,H175,H186,H197,H208,H219,H230,H241),0)</f>
        <v>81</v>
      </c>
      <c r="E126" s="167"/>
      <c r="F126" s="33" t="s">
        <v>106</v>
      </c>
      <c r="G126" s="168" t="s">
        <v>109</v>
      </c>
      <c r="H126" s="168"/>
      <c r="I126" s="167">
        <f>ROUND(SUM(J142,J153,J164,J175,J186,J197,J208,J219,J230,J241),0)</f>
        <v>94</v>
      </c>
      <c r="J126" s="167"/>
      <c r="K126" s="40" t="s">
        <v>106</v>
      </c>
      <c r="M126"/>
      <c r="N126"/>
      <c r="O126"/>
      <c r="P126"/>
      <c r="Q126"/>
      <c r="R126"/>
      <c r="S126"/>
      <c r="T126"/>
      <c r="U126"/>
      <c r="V126"/>
    </row>
    <row r="127" spans="1:22" ht="26.25" customHeight="1" x14ac:dyDescent="0.25">
      <c r="A127" s="165" t="s">
        <v>110</v>
      </c>
      <c r="B127" s="166"/>
      <c r="C127" s="166"/>
      <c r="D127" s="167" t="e">
        <f>(D126/D3)*100</f>
        <v>#N/A</v>
      </c>
      <c r="E127" s="167"/>
      <c r="F127" s="33" t="s">
        <v>105</v>
      </c>
      <c r="G127" s="168" t="s">
        <v>110</v>
      </c>
      <c r="H127" s="168"/>
      <c r="I127" s="167">
        <f>(I126/I125)*100</f>
        <v>4.7188755020080322</v>
      </c>
      <c r="J127" s="167"/>
      <c r="K127" s="40" t="s">
        <v>105</v>
      </c>
      <c r="M127"/>
      <c r="N127"/>
      <c r="O127"/>
      <c r="P127"/>
      <c r="Q127"/>
      <c r="R127"/>
      <c r="S127"/>
      <c r="T127"/>
      <c r="U127"/>
      <c r="V127"/>
    </row>
    <row r="128" spans="1:22" ht="24.95" customHeight="1" x14ac:dyDescent="0.25">
      <c r="A128" s="159" t="e">
        <f>IF(D127&gt;=100,"Pass","Fail (Not Enough BU's Achieved).")</f>
        <v>#N/A</v>
      </c>
      <c r="B128" s="97"/>
      <c r="C128" s="97"/>
      <c r="D128" s="97"/>
      <c r="E128" s="97"/>
      <c r="F128" s="97"/>
      <c r="G128" s="97" t="str">
        <f>IF(I127&gt;=100,"Pass","Fail (Not Enough BU's Achieved).")</f>
        <v>Fail (Not Enough BU's Achieved).</v>
      </c>
      <c r="H128" s="97"/>
      <c r="I128" s="97"/>
      <c r="J128" s="97"/>
      <c r="K128" s="169"/>
      <c r="M128"/>
      <c r="N128"/>
      <c r="O128"/>
      <c r="P128"/>
      <c r="Q128"/>
      <c r="R128"/>
      <c r="S128"/>
      <c r="T128"/>
      <c r="U128"/>
      <c r="V128"/>
    </row>
    <row r="129" spans="1:23" ht="24.95" customHeight="1" x14ac:dyDescent="0.25">
      <c r="A129" s="159"/>
      <c r="B129" s="97"/>
      <c r="C129" s="97"/>
      <c r="D129" s="97"/>
      <c r="E129" s="97"/>
      <c r="F129" s="97"/>
      <c r="G129" s="97"/>
      <c r="H129" s="97"/>
      <c r="I129" s="97"/>
      <c r="J129" s="97"/>
      <c r="K129" s="169"/>
      <c r="M129"/>
      <c r="N129"/>
      <c r="O129"/>
      <c r="P129"/>
      <c r="Q129"/>
      <c r="R129"/>
      <c r="S129"/>
      <c r="T129"/>
      <c r="U129"/>
      <c r="V129"/>
    </row>
    <row r="130" spans="1:23" ht="9.9499999999999993" customHeight="1" x14ac:dyDescent="0.25">
      <c r="A130" s="185" t="s">
        <v>107</v>
      </c>
      <c r="B130" s="186"/>
      <c r="C130" s="186"/>
      <c r="D130" s="187">
        <v>10</v>
      </c>
      <c r="E130" s="102" t="s">
        <v>167</v>
      </c>
      <c r="F130" s="102"/>
      <c r="G130" s="102"/>
      <c r="H130" s="102"/>
      <c r="I130" s="102"/>
      <c r="J130" s="102"/>
      <c r="K130" s="188"/>
      <c r="M130"/>
      <c r="N130"/>
      <c r="O130"/>
      <c r="P130"/>
      <c r="Q130"/>
      <c r="R130"/>
      <c r="S130"/>
      <c r="T130"/>
      <c r="U130"/>
      <c r="V130"/>
    </row>
    <row r="131" spans="1:23" ht="9.9499999999999993" customHeight="1" x14ac:dyDescent="0.25">
      <c r="A131" s="185"/>
      <c r="B131" s="186"/>
      <c r="C131" s="186"/>
      <c r="D131" s="187"/>
      <c r="E131" s="102"/>
      <c r="F131" s="102"/>
      <c r="G131" s="102"/>
      <c r="H131" s="102"/>
      <c r="I131" s="102"/>
      <c r="J131" s="102"/>
      <c r="K131" s="188"/>
      <c r="M131"/>
      <c r="N131"/>
      <c r="O131"/>
      <c r="P131"/>
      <c r="Q131"/>
      <c r="R131"/>
      <c r="S131"/>
      <c r="T131"/>
      <c r="U131"/>
      <c r="V131"/>
    </row>
    <row r="132" spans="1:23" ht="9.9499999999999993" customHeight="1" x14ac:dyDescent="0.25">
      <c r="A132" s="185"/>
      <c r="B132" s="186"/>
      <c r="C132" s="186"/>
      <c r="D132" s="187"/>
      <c r="E132" s="102"/>
      <c r="F132" s="102"/>
      <c r="G132" s="102"/>
      <c r="H132" s="102"/>
      <c r="I132" s="102"/>
      <c r="J132" s="102"/>
      <c r="K132" s="188"/>
      <c r="M132"/>
      <c r="N132"/>
      <c r="O132"/>
      <c r="P132"/>
      <c r="Q132"/>
      <c r="R132"/>
      <c r="S132"/>
      <c r="T132"/>
      <c r="U132"/>
      <c r="V132"/>
    </row>
    <row r="133" spans="1:23" ht="15" customHeight="1" x14ac:dyDescent="0.25">
      <c r="A133" s="191"/>
      <c r="B133" s="192"/>
      <c r="C133" s="192"/>
      <c r="D133" s="192"/>
      <c r="E133" s="192"/>
      <c r="F133" s="192"/>
      <c r="G133" s="192"/>
      <c r="H133" s="192"/>
      <c r="I133" s="192"/>
      <c r="J133" s="192"/>
      <c r="K133" s="193"/>
      <c r="M133"/>
      <c r="N133"/>
      <c r="O133"/>
      <c r="P133"/>
      <c r="Q133"/>
      <c r="R133"/>
      <c r="S133"/>
      <c r="T133"/>
      <c r="U133"/>
      <c r="V133"/>
    </row>
    <row r="134" spans="1:23" ht="15" customHeight="1" x14ac:dyDescent="0.25">
      <c r="A134" s="189"/>
      <c r="B134" s="131"/>
      <c r="C134" s="131"/>
      <c r="D134" s="131"/>
      <c r="E134" s="131"/>
      <c r="F134" s="131"/>
      <c r="G134" s="132"/>
      <c r="H134" s="109" t="s">
        <v>103</v>
      </c>
      <c r="I134" s="111"/>
      <c r="J134" s="109" t="s">
        <v>104</v>
      </c>
      <c r="K134" s="190"/>
      <c r="M134"/>
      <c r="N134"/>
      <c r="O134"/>
      <c r="P134"/>
      <c r="Q134"/>
      <c r="R134"/>
      <c r="S134"/>
      <c r="T134"/>
      <c r="U134"/>
      <c r="V134"/>
    </row>
    <row r="135" spans="1:23" ht="15" customHeight="1" x14ac:dyDescent="0.25">
      <c r="A135" s="42" t="s">
        <v>83</v>
      </c>
      <c r="B135" s="33" t="s">
        <v>198</v>
      </c>
      <c r="C135" s="34" t="s">
        <v>86</v>
      </c>
      <c r="D135" s="33" t="s">
        <v>87</v>
      </c>
      <c r="E135" s="33" t="s">
        <v>111</v>
      </c>
      <c r="F135" s="33" t="s">
        <v>84</v>
      </c>
      <c r="G135" s="33" t="s">
        <v>85</v>
      </c>
      <c r="H135" s="24" t="s">
        <v>165</v>
      </c>
      <c r="I135" s="24" t="s">
        <v>169</v>
      </c>
      <c r="J135" s="24" t="s">
        <v>165</v>
      </c>
      <c r="K135" s="41" t="s">
        <v>169</v>
      </c>
      <c r="M135"/>
      <c r="N135"/>
      <c r="O135"/>
      <c r="V135" s="8" t="s">
        <v>164</v>
      </c>
    </row>
    <row r="136" spans="1:23" ht="15" customHeight="1" x14ac:dyDescent="0.25">
      <c r="A136" s="236" t="s">
        <v>185</v>
      </c>
      <c r="B136" s="20" t="s">
        <v>199</v>
      </c>
      <c r="C136" s="19">
        <v>1</v>
      </c>
      <c r="D136" s="17"/>
      <c r="E136" s="16">
        <v>1</v>
      </c>
      <c r="F136" s="18" t="s">
        <v>132</v>
      </c>
      <c r="G136" s="18" t="s">
        <v>134</v>
      </c>
      <c r="H136" s="37">
        <f>IFERROR(VLOOKUP(F136,'Product Spec'!B:D,2,FALSE)," ")</f>
        <v>81</v>
      </c>
      <c r="I136" s="37">
        <f>IFERROR(C136*H136*P136*MIN(1,2.4/E136)," ")</f>
        <v>81</v>
      </c>
      <c r="J136" s="37">
        <f>IFERROR(VLOOKUP(F136,'Product Spec'!B:D,3,FALSE)," ")</f>
        <v>94</v>
      </c>
      <c r="K136" s="43">
        <f>IFERROR(C136*J136*P136*MIN(1,2.4/E136)," ")</f>
        <v>94</v>
      </c>
      <c r="M136"/>
      <c r="N136"/>
      <c r="O136"/>
      <c r="P136" s="8">
        <f>IF(OR(D136=30,D136=45,D136=60),Q136,COS(R136))</f>
        <v>1</v>
      </c>
      <c r="Q136" s="8" t="e" cm="1">
        <f t="array" ref="Q136">_xlfn.IFS(D136=30,0.87,D136=45,0.7,D136=60,0.5)</f>
        <v>#N/A</v>
      </c>
      <c r="R136" s="8">
        <f>(PI()/180)*D136</f>
        <v>0</v>
      </c>
      <c r="S136" s="8" t="e">
        <f>H142/H143</f>
        <v>#N/A</v>
      </c>
      <c r="V136" s="8">
        <f xml:space="preserve"> C143*15</f>
        <v>0</v>
      </c>
    </row>
    <row r="137" spans="1:23" ht="15" customHeight="1" x14ac:dyDescent="0.25">
      <c r="A137" s="236"/>
      <c r="B137" s="20" t="s">
        <v>200</v>
      </c>
      <c r="C137" s="19"/>
      <c r="D137" s="17"/>
      <c r="E137" s="16"/>
      <c r="F137" s="18"/>
      <c r="G137" s="18"/>
      <c r="H137" s="37" t="str">
        <f>IFERROR(VLOOKUP(F137,'Product Spec'!B:D,2,FALSE)," ")</f>
        <v xml:space="preserve"> </v>
      </c>
      <c r="I137" s="37" t="str">
        <f t="shared" ref="I137:I141" si="40">IFERROR(C137*H137*P137*MIN(1,2.4/E137)," ")</f>
        <v xml:space="preserve"> </v>
      </c>
      <c r="J137" s="37" t="str">
        <f>IFERROR(VLOOKUP(F137,'Product Spec'!B:D,3,FALSE)," ")</f>
        <v xml:space="preserve"> </v>
      </c>
      <c r="K137" s="43" t="str">
        <f t="shared" ref="K137:K141" si="41">IFERROR(C137*J137*P137*MIN(1,2.4/E137)," ")</f>
        <v xml:space="preserve"> </v>
      </c>
      <c r="M137"/>
      <c r="N137"/>
      <c r="O137"/>
      <c r="P137" s="8">
        <f t="shared" ref="P137:P141" si="42">IF(OR(D137=30,D137=45,D137=60),Q137,COS(R137))</f>
        <v>1</v>
      </c>
      <c r="Q137" s="8" t="e" cm="1">
        <f t="array" ref="Q137">_xlfn.IFS(D137=30,0.87,D137=45,0.7,D137=60,0.5)</f>
        <v>#N/A</v>
      </c>
      <c r="R137" s="8">
        <f t="shared" ref="R137:R141" si="43">(PI()/180)*D137</f>
        <v>0</v>
      </c>
      <c r="S137" s="8">
        <f>J142/J143</f>
        <v>0.94</v>
      </c>
    </row>
    <row r="138" spans="1:23" ht="15" customHeight="1" x14ac:dyDescent="0.25">
      <c r="A138" s="236"/>
      <c r="B138" s="20" t="s">
        <v>201</v>
      </c>
      <c r="C138" s="19"/>
      <c r="D138" s="17"/>
      <c r="E138" s="16"/>
      <c r="F138" s="18"/>
      <c r="G138" s="18"/>
      <c r="H138" s="37" t="str">
        <f>IFERROR(VLOOKUP(F138,'Product Spec'!B:D,2,FALSE)," ")</f>
        <v xml:space="preserve"> </v>
      </c>
      <c r="I138" s="37" t="str">
        <f t="shared" si="40"/>
        <v xml:space="preserve"> </v>
      </c>
      <c r="J138" s="37" t="str">
        <f>IFERROR(VLOOKUP(F138,'Product Spec'!B:D,3,FALSE)," ")</f>
        <v xml:space="preserve"> </v>
      </c>
      <c r="K138" s="43" t="str">
        <f t="shared" si="41"/>
        <v xml:space="preserve"> </v>
      </c>
      <c r="M138"/>
      <c r="N138"/>
      <c r="O138"/>
      <c r="P138" s="8">
        <f t="shared" si="42"/>
        <v>1</v>
      </c>
      <c r="Q138" s="8" t="e" cm="1">
        <f t="array" ref="Q138">_xlfn.IFS(D138=30,0.87,D138=45,0.7,D138=60,0.5)</f>
        <v>#N/A</v>
      </c>
      <c r="R138" s="8">
        <f t="shared" si="43"/>
        <v>0</v>
      </c>
    </row>
    <row r="139" spans="1:23" ht="15" customHeight="1" x14ac:dyDescent="0.25">
      <c r="A139" s="236"/>
      <c r="B139" s="20" t="s">
        <v>202</v>
      </c>
      <c r="C139" s="19"/>
      <c r="D139" s="17"/>
      <c r="E139" s="16"/>
      <c r="F139" s="18"/>
      <c r="G139" s="18"/>
      <c r="H139" s="37" t="str">
        <f>IFERROR(VLOOKUP(F139,'Product Spec'!B:D,2,FALSE)," ")</f>
        <v xml:space="preserve"> </v>
      </c>
      <c r="I139" s="37" t="str">
        <f t="shared" si="40"/>
        <v xml:space="preserve"> </v>
      </c>
      <c r="J139" s="37" t="str">
        <f>IFERROR(VLOOKUP(F139,'Product Spec'!B:D,3,FALSE)," ")</f>
        <v xml:space="preserve"> </v>
      </c>
      <c r="K139" s="43" t="str">
        <f t="shared" si="41"/>
        <v xml:space="preserve"> </v>
      </c>
      <c r="M139"/>
      <c r="N139"/>
      <c r="O139"/>
      <c r="P139" s="8">
        <f t="shared" si="42"/>
        <v>1</v>
      </c>
      <c r="Q139" s="8" t="e" cm="1">
        <f t="array" ref="Q139">_xlfn.IFS(D139=30,0.87,D139=45,0.7,D139=60,0.5)</f>
        <v>#N/A</v>
      </c>
      <c r="R139" s="8">
        <f t="shared" si="43"/>
        <v>0</v>
      </c>
    </row>
    <row r="140" spans="1:23" ht="15" customHeight="1" x14ac:dyDescent="0.25">
      <c r="A140" s="236"/>
      <c r="B140" s="20" t="s">
        <v>203</v>
      </c>
      <c r="C140" s="19"/>
      <c r="D140" s="17"/>
      <c r="E140" s="16"/>
      <c r="F140" s="18"/>
      <c r="G140" s="18"/>
      <c r="H140" s="37" t="str">
        <f>IFERROR(VLOOKUP(F140,'Product Spec'!B:D,2,FALSE)," ")</f>
        <v xml:space="preserve"> </v>
      </c>
      <c r="I140" s="37" t="str">
        <f t="shared" si="40"/>
        <v xml:space="preserve"> </v>
      </c>
      <c r="J140" s="37" t="str">
        <f>IFERROR(VLOOKUP(F140,'Product Spec'!B:D,3,FALSE)," ")</f>
        <v xml:space="preserve"> </v>
      </c>
      <c r="K140" s="43" t="str">
        <f t="shared" si="41"/>
        <v xml:space="preserve"> </v>
      </c>
      <c r="M140"/>
      <c r="N140"/>
      <c r="O140"/>
      <c r="P140" s="8">
        <f t="shared" si="42"/>
        <v>1</v>
      </c>
      <c r="Q140" s="8" t="e" cm="1">
        <f t="array" ref="Q140">_xlfn.IFS(D140=30,0.87,D140=45,0.7,D140=60,0.5)</f>
        <v>#N/A</v>
      </c>
      <c r="R140" s="8">
        <f t="shared" si="43"/>
        <v>0</v>
      </c>
    </row>
    <row r="141" spans="1:23" ht="15" customHeight="1" x14ac:dyDescent="0.25">
      <c r="A141" s="236"/>
      <c r="B141" s="20" t="s">
        <v>204</v>
      </c>
      <c r="C141" s="19"/>
      <c r="D141" s="17"/>
      <c r="E141" s="16"/>
      <c r="F141" s="18"/>
      <c r="G141" s="18"/>
      <c r="H141" s="37" t="str">
        <f>IFERROR(VLOOKUP(F141,'Product Spec'!B:D,2,FALSE)," ")</f>
        <v xml:space="preserve"> </v>
      </c>
      <c r="I141" s="37" t="str">
        <f t="shared" si="40"/>
        <v xml:space="preserve"> </v>
      </c>
      <c r="J141" s="37" t="str">
        <f>IFERROR(VLOOKUP(F141,'Product Spec'!B:D,3,FALSE)," ")</f>
        <v xml:space="preserve"> </v>
      </c>
      <c r="K141" s="43" t="str">
        <f t="shared" si="41"/>
        <v xml:space="preserve"> </v>
      </c>
      <c r="M141"/>
      <c r="N141"/>
      <c r="O141"/>
      <c r="P141" s="8">
        <f t="shared" si="42"/>
        <v>1</v>
      </c>
      <c r="Q141" s="8" t="e" cm="1">
        <f t="array" ref="Q141">_xlfn.IFS(D141=30,0.87,D141=45,0.7,D141=60,0.5)</f>
        <v>#N/A</v>
      </c>
      <c r="R141" s="8">
        <f t="shared" si="43"/>
        <v>0</v>
      </c>
    </row>
    <row r="142" spans="1:23" ht="15" customHeight="1" x14ac:dyDescent="0.25">
      <c r="A142" s="236"/>
      <c r="B142" s="98" t="s">
        <v>170</v>
      </c>
      <c r="C142" s="99"/>
      <c r="D142" s="99"/>
      <c r="E142" s="99"/>
      <c r="F142" s="99"/>
      <c r="G142" s="100"/>
      <c r="H142" s="179" cm="1">
        <f t="array" ref="H142">SUM(IFERROR(I136:I141,0))</f>
        <v>81</v>
      </c>
      <c r="I142" s="180"/>
      <c r="J142" s="179" cm="1">
        <f t="array" ref="J142">SUM(IFERROR(K136:K141,0))</f>
        <v>94</v>
      </c>
      <c r="K142" s="181"/>
      <c r="M142"/>
      <c r="N142"/>
      <c r="O142"/>
    </row>
    <row r="143" spans="1:23" ht="15" customHeight="1" x14ac:dyDescent="0.25">
      <c r="A143" s="44" t="s">
        <v>168</v>
      </c>
      <c r="B143" s="160"/>
      <c r="C143" s="161"/>
      <c r="D143" s="99" t="s">
        <v>166</v>
      </c>
      <c r="E143" s="99"/>
      <c r="F143" s="99"/>
      <c r="G143" s="100"/>
      <c r="H143" s="150" t="e">
        <f>MAX(100,(0.5*$D$125)/$D$130,V136)</f>
        <v>#N/A</v>
      </c>
      <c r="I143" s="151"/>
      <c r="J143" s="150">
        <f>MAX(100,(0.5*$I$125)/$D$130,V136)</f>
        <v>100</v>
      </c>
      <c r="K143" s="152"/>
      <c r="M143"/>
      <c r="N143"/>
      <c r="O143"/>
    </row>
    <row r="144" spans="1:23" ht="15" customHeight="1" x14ac:dyDescent="0.25">
      <c r="A144" s="153" t="e">
        <f>IF(OR(S136&lt;1,S137&lt;1),"Warning: Doesn’t meet the minimum BU's requirement per line."," ")</f>
        <v>#N/A</v>
      </c>
      <c r="B144" s="154"/>
      <c r="C144" s="154"/>
      <c r="D144" s="154"/>
      <c r="E144" s="154"/>
      <c r="F144" s="154"/>
      <c r="G144" s="154"/>
      <c r="H144" s="154"/>
      <c r="I144" s="154"/>
      <c r="J144" s="154"/>
      <c r="K144" s="155"/>
      <c r="M144"/>
      <c r="N144"/>
      <c r="O144"/>
      <c r="P144"/>
      <c r="Q144"/>
      <c r="R144"/>
      <c r="S144"/>
      <c r="T144"/>
      <c r="U144"/>
      <c r="V144"/>
      <c r="W144"/>
    </row>
    <row r="145" spans="1:23" ht="15" customHeight="1" x14ac:dyDescent="0.25">
      <c r="A145" s="156"/>
      <c r="B145" s="157"/>
      <c r="C145" s="157"/>
      <c r="D145" s="157"/>
      <c r="E145" s="157"/>
      <c r="F145" s="157"/>
      <c r="G145" s="157"/>
      <c r="H145" s="157"/>
      <c r="I145" s="157"/>
      <c r="J145" s="157"/>
      <c r="K145" s="158"/>
      <c r="M145"/>
      <c r="N145"/>
      <c r="O145"/>
      <c r="P145"/>
      <c r="Q145"/>
      <c r="R145"/>
      <c r="S145"/>
      <c r="T145"/>
      <c r="U145"/>
      <c r="V145"/>
    </row>
    <row r="146" spans="1:23" ht="15" customHeight="1" x14ac:dyDescent="0.25">
      <c r="A146" s="42" t="s">
        <v>83</v>
      </c>
      <c r="B146" s="33" t="s">
        <v>198</v>
      </c>
      <c r="C146" s="34" t="s">
        <v>86</v>
      </c>
      <c r="D146" s="33" t="s">
        <v>87</v>
      </c>
      <c r="E146" s="33" t="s">
        <v>111</v>
      </c>
      <c r="F146" s="33" t="s">
        <v>84</v>
      </c>
      <c r="G146" s="33" t="s">
        <v>85</v>
      </c>
      <c r="H146" s="24" t="s">
        <v>165</v>
      </c>
      <c r="I146" s="24" t="s">
        <v>169</v>
      </c>
      <c r="J146" s="24" t="s">
        <v>165</v>
      </c>
      <c r="K146" s="41" t="s">
        <v>169</v>
      </c>
      <c r="M146"/>
      <c r="N146"/>
      <c r="O146"/>
      <c r="V146" s="8" t="s">
        <v>164</v>
      </c>
    </row>
    <row r="147" spans="1:23" ht="15" customHeight="1" x14ac:dyDescent="0.25">
      <c r="A147" s="236" t="s">
        <v>186</v>
      </c>
      <c r="B147" s="20" t="s">
        <v>199</v>
      </c>
      <c r="C147" s="19"/>
      <c r="D147" s="17"/>
      <c r="E147" s="16"/>
      <c r="F147" s="18"/>
      <c r="G147" s="18"/>
      <c r="H147" s="37" t="str">
        <f>IFERROR(VLOOKUP(F147,'Product Spec'!B:D,2,FALSE)," ")</f>
        <v xml:space="preserve"> </v>
      </c>
      <c r="I147" s="37" t="str">
        <f>IFERROR(C147*H147*P147*MIN(1,2.4/E147)," ")</f>
        <v xml:space="preserve"> </v>
      </c>
      <c r="J147" s="37" t="str">
        <f>IFERROR(VLOOKUP(F147,'Product Spec'!B:D,3,FALSE)," ")</f>
        <v xml:space="preserve"> </v>
      </c>
      <c r="K147" s="43" t="str">
        <f>IFERROR(C147*J147*P147*MIN(1,2.4/E147)," ")</f>
        <v xml:space="preserve"> </v>
      </c>
      <c r="M147"/>
      <c r="N147"/>
      <c r="O147"/>
      <c r="P147" s="8">
        <f>IF(OR(D147=30,D147=45,D147=60),Q147,COS(R147))</f>
        <v>1</v>
      </c>
      <c r="Q147" s="8" t="e" cm="1">
        <f t="array" ref="Q147">_xlfn.IFS(D147=30,0.87,D147=45,0.7,D147=60,0.5)</f>
        <v>#N/A</v>
      </c>
      <c r="R147" s="8">
        <f>(PI()/180)*D147</f>
        <v>0</v>
      </c>
      <c r="S147" s="8" t="e">
        <f>H153/H154</f>
        <v>#N/A</v>
      </c>
      <c r="V147" s="8">
        <f xml:space="preserve"> C154*15</f>
        <v>0</v>
      </c>
    </row>
    <row r="148" spans="1:23" ht="15" customHeight="1" x14ac:dyDescent="0.25">
      <c r="A148" s="236"/>
      <c r="B148" s="20" t="s">
        <v>200</v>
      </c>
      <c r="C148" s="19"/>
      <c r="D148" s="17"/>
      <c r="E148" s="16"/>
      <c r="F148" s="18"/>
      <c r="G148" s="18"/>
      <c r="H148" s="37" t="str">
        <f>IFERROR(VLOOKUP(F148,'Product Spec'!B:D,2,FALSE)," ")</f>
        <v xml:space="preserve"> </v>
      </c>
      <c r="I148" s="37" t="str">
        <f t="shared" ref="I148:I152" si="44">IFERROR(C148*H148*P148*MIN(1,2.4/E148)," ")</f>
        <v xml:space="preserve"> </v>
      </c>
      <c r="J148" s="37" t="str">
        <f>IFERROR(VLOOKUP(F148,'Product Spec'!B:D,3,FALSE)," ")</f>
        <v xml:space="preserve"> </v>
      </c>
      <c r="K148" s="43" t="str">
        <f t="shared" ref="K148:K152" si="45">IFERROR(C148*J148*P148*MIN(1,2.4/E148)," ")</f>
        <v xml:space="preserve"> </v>
      </c>
      <c r="M148"/>
      <c r="N148"/>
      <c r="O148"/>
      <c r="P148" s="8">
        <f t="shared" ref="P148:P152" si="46">IF(OR(D148=30,D148=45,D148=60),Q148,COS(R148))</f>
        <v>1</v>
      </c>
      <c r="Q148" s="8" t="e" cm="1">
        <f t="array" ref="Q148">_xlfn.IFS(D148=30,0.87,D148=45,0.7,D148=60,0.5)</f>
        <v>#N/A</v>
      </c>
      <c r="R148" s="8">
        <f t="shared" ref="R148:R152" si="47">(PI()/180)*D148</f>
        <v>0</v>
      </c>
      <c r="S148" s="8">
        <f>J153/J154</f>
        <v>0</v>
      </c>
    </row>
    <row r="149" spans="1:23" ht="15" customHeight="1" x14ac:dyDescent="0.25">
      <c r="A149" s="236"/>
      <c r="B149" s="20" t="s">
        <v>201</v>
      </c>
      <c r="C149" s="19"/>
      <c r="D149" s="17"/>
      <c r="E149" s="16"/>
      <c r="F149" s="18"/>
      <c r="G149" s="18"/>
      <c r="H149" s="37" t="str">
        <f>IFERROR(VLOOKUP(F149,'Product Spec'!B:D,2,FALSE)," ")</f>
        <v xml:space="preserve"> </v>
      </c>
      <c r="I149" s="37" t="str">
        <f t="shared" si="44"/>
        <v xml:space="preserve"> </v>
      </c>
      <c r="J149" s="37" t="str">
        <f>IFERROR(VLOOKUP(F149,'Product Spec'!B:D,3,FALSE)," ")</f>
        <v xml:space="preserve"> </v>
      </c>
      <c r="K149" s="43" t="str">
        <f t="shared" si="45"/>
        <v xml:space="preserve"> </v>
      </c>
      <c r="M149"/>
      <c r="N149"/>
      <c r="O149"/>
      <c r="P149" s="8">
        <f t="shared" si="46"/>
        <v>1</v>
      </c>
      <c r="Q149" s="8" t="e" cm="1">
        <f t="array" ref="Q149">_xlfn.IFS(D149=30,0.87,D149=45,0.7,D149=60,0.5)</f>
        <v>#N/A</v>
      </c>
      <c r="R149" s="8">
        <f t="shared" si="47"/>
        <v>0</v>
      </c>
    </row>
    <row r="150" spans="1:23" ht="15" customHeight="1" x14ac:dyDescent="0.25">
      <c r="A150" s="236"/>
      <c r="B150" s="20" t="s">
        <v>202</v>
      </c>
      <c r="C150" s="19"/>
      <c r="D150" s="17"/>
      <c r="E150" s="16"/>
      <c r="F150" s="18"/>
      <c r="G150" s="18"/>
      <c r="H150" s="37" t="str">
        <f>IFERROR(VLOOKUP(F150,'Product Spec'!B:D,2,FALSE)," ")</f>
        <v xml:space="preserve"> </v>
      </c>
      <c r="I150" s="37" t="str">
        <f t="shared" si="44"/>
        <v xml:space="preserve"> </v>
      </c>
      <c r="J150" s="37" t="str">
        <f>IFERROR(VLOOKUP(F150,'Product Spec'!B:D,3,FALSE)," ")</f>
        <v xml:space="preserve"> </v>
      </c>
      <c r="K150" s="43" t="str">
        <f t="shared" si="45"/>
        <v xml:space="preserve"> </v>
      </c>
      <c r="M150"/>
      <c r="N150"/>
      <c r="O150"/>
      <c r="P150" s="8">
        <f t="shared" si="46"/>
        <v>1</v>
      </c>
      <c r="Q150" s="8" t="e" cm="1">
        <f t="array" ref="Q150">_xlfn.IFS(D150=30,0.87,D150=45,0.7,D150=60,0.5)</f>
        <v>#N/A</v>
      </c>
      <c r="R150" s="8">
        <f t="shared" si="47"/>
        <v>0</v>
      </c>
    </row>
    <row r="151" spans="1:23" ht="15" customHeight="1" x14ac:dyDescent="0.25">
      <c r="A151" s="236"/>
      <c r="B151" s="20" t="s">
        <v>203</v>
      </c>
      <c r="C151" s="19"/>
      <c r="D151" s="17"/>
      <c r="E151" s="16"/>
      <c r="F151" s="18"/>
      <c r="G151" s="18"/>
      <c r="H151" s="37" t="str">
        <f>IFERROR(VLOOKUP(F151,'Product Spec'!B:D,2,FALSE)," ")</f>
        <v xml:space="preserve"> </v>
      </c>
      <c r="I151" s="37" t="str">
        <f t="shared" si="44"/>
        <v xml:space="preserve"> </v>
      </c>
      <c r="J151" s="37" t="str">
        <f>IFERROR(VLOOKUP(F151,'Product Spec'!B:D,3,FALSE)," ")</f>
        <v xml:space="preserve"> </v>
      </c>
      <c r="K151" s="43" t="str">
        <f t="shared" si="45"/>
        <v xml:space="preserve"> </v>
      </c>
      <c r="M151"/>
      <c r="N151"/>
      <c r="O151"/>
      <c r="P151" s="8">
        <f t="shared" si="46"/>
        <v>1</v>
      </c>
      <c r="Q151" s="8" t="e" cm="1">
        <f t="array" ref="Q151">_xlfn.IFS(D151=30,0.87,D151=45,0.7,D151=60,0.5)</f>
        <v>#N/A</v>
      </c>
      <c r="R151" s="8">
        <f t="shared" si="47"/>
        <v>0</v>
      </c>
    </row>
    <row r="152" spans="1:23" ht="15" customHeight="1" x14ac:dyDescent="0.25">
      <c r="A152" s="236"/>
      <c r="B152" s="20" t="s">
        <v>204</v>
      </c>
      <c r="C152" s="19"/>
      <c r="D152" s="17"/>
      <c r="E152" s="16"/>
      <c r="F152" s="18"/>
      <c r="G152" s="18"/>
      <c r="H152" s="37" t="str">
        <f>IFERROR(VLOOKUP(F152,'Product Spec'!B:D,2,FALSE)," ")</f>
        <v xml:space="preserve"> </v>
      </c>
      <c r="I152" s="37" t="str">
        <f t="shared" si="44"/>
        <v xml:space="preserve"> </v>
      </c>
      <c r="J152" s="37" t="str">
        <f>IFERROR(VLOOKUP(F152,'Product Spec'!B:D,3,FALSE)," ")</f>
        <v xml:space="preserve"> </v>
      </c>
      <c r="K152" s="43" t="str">
        <f t="shared" si="45"/>
        <v xml:space="preserve"> </v>
      </c>
      <c r="M152"/>
      <c r="N152"/>
      <c r="O152"/>
      <c r="P152" s="8">
        <f t="shared" si="46"/>
        <v>1</v>
      </c>
      <c r="Q152" s="8" t="e" cm="1">
        <f t="array" ref="Q152">_xlfn.IFS(D152=30,0.87,D152=45,0.7,D152=60,0.5)</f>
        <v>#N/A</v>
      </c>
      <c r="R152" s="8">
        <f t="shared" si="47"/>
        <v>0</v>
      </c>
    </row>
    <row r="153" spans="1:23" ht="15" customHeight="1" x14ac:dyDescent="0.25">
      <c r="A153" s="236"/>
      <c r="B153" s="98" t="s">
        <v>170</v>
      </c>
      <c r="C153" s="99"/>
      <c r="D153" s="99"/>
      <c r="E153" s="99"/>
      <c r="F153" s="99"/>
      <c r="G153" s="100"/>
      <c r="H153" s="179" cm="1">
        <f t="array" ref="H153">IF(D130&lt;2,0,SUM(IFERROR(I147:I152,0)))</f>
        <v>0</v>
      </c>
      <c r="I153" s="180"/>
      <c r="J153" s="179" cm="1">
        <f t="array" ref="J153">IF(D130&lt;2,0,SUM(IFERROR(K147:K152,0)))</f>
        <v>0</v>
      </c>
      <c r="K153" s="181"/>
      <c r="M153"/>
      <c r="N153"/>
      <c r="O153"/>
    </row>
    <row r="154" spans="1:23" ht="15" customHeight="1" x14ac:dyDescent="0.25">
      <c r="A154" s="44" t="s">
        <v>168</v>
      </c>
      <c r="B154" s="160"/>
      <c r="C154" s="161"/>
      <c r="D154" s="99" t="s">
        <v>166</v>
      </c>
      <c r="E154" s="99"/>
      <c r="F154" s="99"/>
      <c r="G154" s="100"/>
      <c r="H154" s="150" t="e">
        <f>MAX(100,(0.5*$D$125)/$D$130,V147)</f>
        <v>#N/A</v>
      </c>
      <c r="I154" s="151"/>
      <c r="J154" s="150">
        <f>MAX(100,(0.5*$I$125)/$D$130,V147)</f>
        <v>100</v>
      </c>
      <c r="K154" s="152"/>
      <c r="M154"/>
      <c r="N154"/>
      <c r="O154"/>
    </row>
    <row r="155" spans="1:23" ht="15" customHeight="1" x14ac:dyDescent="0.25">
      <c r="A155" s="153" t="e">
        <f>IF(OR(S147&lt;1,S148&lt;1),"Warning: Doesn’t meet the minimum BU's requirement per line."," ")</f>
        <v>#N/A</v>
      </c>
      <c r="B155" s="154"/>
      <c r="C155" s="154"/>
      <c r="D155" s="154"/>
      <c r="E155" s="154"/>
      <c r="F155" s="154"/>
      <c r="G155" s="154"/>
      <c r="H155" s="154"/>
      <c r="I155" s="154"/>
      <c r="J155" s="154"/>
      <c r="K155" s="155"/>
      <c r="M155"/>
      <c r="N155"/>
      <c r="O155"/>
      <c r="P155"/>
      <c r="Q155"/>
      <c r="R155"/>
      <c r="S155"/>
      <c r="T155"/>
      <c r="U155"/>
      <c r="V155"/>
      <c r="W155"/>
    </row>
    <row r="156" spans="1:23" ht="15" customHeight="1" x14ac:dyDescent="0.25">
      <c r="A156" s="156"/>
      <c r="B156" s="157"/>
      <c r="C156" s="157"/>
      <c r="D156" s="157"/>
      <c r="E156" s="157"/>
      <c r="F156" s="157"/>
      <c r="G156" s="157"/>
      <c r="H156" s="157"/>
      <c r="I156" s="157"/>
      <c r="J156" s="157"/>
      <c r="K156" s="158"/>
      <c r="M156"/>
      <c r="N156"/>
      <c r="O156"/>
      <c r="P156"/>
      <c r="Q156"/>
      <c r="R156"/>
      <c r="S156"/>
      <c r="T156"/>
      <c r="U156"/>
      <c r="V156"/>
    </row>
    <row r="157" spans="1:23" ht="15" customHeight="1" x14ac:dyDescent="0.25">
      <c r="A157" s="42" t="s">
        <v>83</v>
      </c>
      <c r="B157" s="33" t="s">
        <v>198</v>
      </c>
      <c r="C157" s="34" t="s">
        <v>86</v>
      </c>
      <c r="D157" s="33" t="s">
        <v>87</v>
      </c>
      <c r="E157" s="33" t="s">
        <v>111</v>
      </c>
      <c r="F157" s="33" t="s">
        <v>84</v>
      </c>
      <c r="G157" s="33" t="s">
        <v>85</v>
      </c>
      <c r="H157" s="24" t="s">
        <v>165</v>
      </c>
      <c r="I157" s="24" t="s">
        <v>169</v>
      </c>
      <c r="J157" s="24" t="s">
        <v>165</v>
      </c>
      <c r="K157" s="41" t="s">
        <v>169</v>
      </c>
      <c r="M157"/>
      <c r="N157"/>
      <c r="O157"/>
      <c r="V157" s="8" t="s">
        <v>164</v>
      </c>
    </row>
    <row r="158" spans="1:23" ht="15" customHeight="1" x14ac:dyDescent="0.25">
      <c r="A158" s="236" t="s">
        <v>187</v>
      </c>
      <c r="B158" s="20" t="s">
        <v>199</v>
      </c>
      <c r="C158" s="19"/>
      <c r="D158" s="17"/>
      <c r="E158" s="16"/>
      <c r="F158" s="18"/>
      <c r="G158" s="18"/>
      <c r="H158" s="37" t="str">
        <f>IFERROR(VLOOKUP(F158,'Product Spec'!B:D,2,FALSE)," ")</f>
        <v xml:space="preserve"> </v>
      </c>
      <c r="I158" s="37" t="str">
        <f>IFERROR(C158*H158*P158*MIN(1,2.4/E158)," ")</f>
        <v xml:space="preserve"> </v>
      </c>
      <c r="J158" s="37" t="str">
        <f>IFERROR(VLOOKUP(F158,'Product Spec'!B:D,3,FALSE)," ")</f>
        <v xml:space="preserve"> </v>
      </c>
      <c r="K158" s="43" t="str">
        <f>IFERROR(C158*J158*P158*MIN(1,2.4/E158)," ")</f>
        <v xml:space="preserve"> </v>
      </c>
      <c r="M158"/>
      <c r="N158"/>
      <c r="O158"/>
      <c r="P158" s="8">
        <f>IF(OR(D158=30,D158=45,D158=60),Q158,COS(R158))</f>
        <v>1</v>
      </c>
      <c r="Q158" s="8" t="e" cm="1">
        <f t="array" ref="Q158">_xlfn.IFS(D158=30,0.87,D158=45,0.7,D158=60,0.5)</f>
        <v>#N/A</v>
      </c>
      <c r="R158" s="8">
        <f>(PI()/180)*D158</f>
        <v>0</v>
      </c>
      <c r="S158" s="8" t="e">
        <f>H164/H165</f>
        <v>#N/A</v>
      </c>
      <c r="V158" s="8">
        <f xml:space="preserve"> C165*15</f>
        <v>0</v>
      </c>
    </row>
    <row r="159" spans="1:23" ht="15" customHeight="1" x14ac:dyDescent="0.25">
      <c r="A159" s="236"/>
      <c r="B159" s="20" t="s">
        <v>200</v>
      </c>
      <c r="C159" s="19"/>
      <c r="D159" s="17"/>
      <c r="E159" s="16"/>
      <c r="F159" s="18"/>
      <c r="G159" s="18"/>
      <c r="H159" s="37" t="str">
        <f>IFERROR(VLOOKUP(F159,'Product Spec'!B:D,2,FALSE)," ")</f>
        <v xml:space="preserve"> </v>
      </c>
      <c r="I159" s="37" t="str">
        <f t="shared" ref="I159:I163" si="48">IFERROR(C159*H159*P159*MIN(1,2.4/E159)," ")</f>
        <v xml:space="preserve"> </v>
      </c>
      <c r="J159" s="37" t="str">
        <f>IFERROR(VLOOKUP(F159,'Product Spec'!B:D,3,FALSE)," ")</f>
        <v xml:space="preserve"> </v>
      </c>
      <c r="K159" s="43" t="str">
        <f t="shared" ref="K159:K163" si="49">IFERROR(C159*J159*P159*MIN(1,2.4/E159)," ")</f>
        <v xml:space="preserve"> </v>
      </c>
      <c r="M159"/>
      <c r="N159"/>
      <c r="O159"/>
      <c r="P159" s="8">
        <f t="shared" ref="P159:P163" si="50">IF(OR(D159=30,D159=45,D159=60),Q159,COS(R159))</f>
        <v>1</v>
      </c>
      <c r="Q159" s="8" t="e" cm="1">
        <f t="array" ref="Q159">_xlfn.IFS(D159=30,0.87,D159=45,0.7,D159=60,0.5)</f>
        <v>#N/A</v>
      </c>
      <c r="R159" s="8">
        <f t="shared" ref="R159:R163" si="51">(PI()/180)*D159</f>
        <v>0</v>
      </c>
      <c r="S159" s="8">
        <f>J164/J165</f>
        <v>0</v>
      </c>
    </row>
    <row r="160" spans="1:23" ht="15" customHeight="1" x14ac:dyDescent="0.25">
      <c r="A160" s="236"/>
      <c r="B160" s="20" t="s">
        <v>201</v>
      </c>
      <c r="C160" s="19"/>
      <c r="D160" s="17"/>
      <c r="E160" s="16"/>
      <c r="F160" s="18"/>
      <c r="G160" s="18"/>
      <c r="H160" s="37" t="str">
        <f>IFERROR(VLOOKUP(F160,'Product Spec'!B:D,2,FALSE)," ")</f>
        <v xml:space="preserve"> </v>
      </c>
      <c r="I160" s="37" t="str">
        <f t="shared" si="48"/>
        <v xml:space="preserve"> </v>
      </c>
      <c r="J160" s="37" t="str">
        <f>IFERROR(VLOOKUP(F160,'Product Spec'!B:D,3,FALSE)," ")</f>
        <v xml:space="preserve"> </v>
      </c>
      <c r="K160" s="43" t="str">
        <f t="shared" si="49"/>
        <v xml:space="preserve"> </v>
      </c>
      <c r="M160"/>
      <c r="N160"/>
      <c r="O160"/>
      <c r="P160" s="8">
        <f t="shared" si="50"/>
        <v>1</v>
      </c>
      <c r="Q160" s="8" t="e" cm="1">
        <f t="array" ref="Q160">_xlfn.IFS(D160=30,0.87,D160=45,0.7,D160=60,0.5)</f>
        <v>#N/A</v>
      </c>
      <c r="R160" s="8">
        <f t="shared" si="51"/>
        <v>0</v>
      </c>
    </row>
    <row r="161" spans="1:23" ht="15" customHeight="1" x14ac:dyDescent="0.25">
      <c r="A161" s="236"/>
      <c r="B161" s="20" t="s">
        <v>202</v>
      </c>
      <c r="C161" s="19"/>
      <c r="D161" s="17"/>
      <c r="E161" s="16"/>
      <c r="F161" s="18"/>
      <c r="G161" s="18"/>
      <c r="H161" s="37" t="str">
        <f>IFERROR(VLOOKUP(F161,'Product Spec'!B:D,2,FALSE)," ")</f>
        <v xml:space="preserve"> </v>
      </c>
      <c r="I161" s="37" t="str">
        <f t="shared" si="48"/>
        <v xml:space="preserve"> </v>
      </c>
      <c r="J161" s="37" t="str">
        <f>IFERROR(VLOOKUP(F161,'Product Spec'!B:D,3,FALSE)," ")</f>
        <v xml:space="preserve"> </v>
      </c>
      <c r="K161" s="43" t="str">
        <f t="shared" si="49"/>
        <v xml:space="preserve"> </v>
      </c>
      <c r="M161"/>
      <c r="N161"/>
      <c r="O161"/>
      <c r="P161" s="8">
        <f t="shared" si="50"/>
        <v>1</v>
      </c>
      <c r="Q161" s="8" t="e" cm="1">
        <f t="array" ref="Q161">_xlfn.IFS(D161=30,0.87,D161=45,0.7,D161=60,0.5)</f>
        <v>#N/A</v>
      </c>
      <c r="R161" s="8">
        <f t="shared" si="51"/>
        <v>0</v>
      </c>
    </row>
    <row r="162" spans="1:23" ht="15" customHeight="1" x14ac:dyDescent="0.25">
      <c r="A162" s="236"/>
      <c r="B162" s="20" t="s">
        <v>203</v>
      </c>
      <c r="C162" s="19"/>
      <c r="D162" s="17"/>
      <c r="E162" s="16"/>
      <c r="F162" s="18"/>
      <c r="G162" s="18"/>
      <c r="H162" s="37" t="str">
        <f>IFERROR(VLOOKUP(F162,'Product Spec'!B:D,2,FALSE)," ")</f>
        <v xml:space="preserve"> </v>
      </c>
      <c r="I162" s="37" t="str">
        <f t="shared" si="48"/>
        <v xml:space="preserve"> </v>
      </c>
      <c r="J162" s="37" t="str">
        <f>IFERROR(VLOOKUP(F162,'Product Spec'!B:D,3,FALSE)," ")</f>
        <v xml:space="preserve"> </v>
      </c>
      <c r="K162" s="43" t="str">
        <f t="shared" si="49"/>
        <v xml:space="preserve"> </v>
      </c>
      <c r="M162"/>
      <c r="N162"/>
      <c r="O162"/>
      <c r="P162" s="8">
        <f t="shared" si="50"/>
        <v>1</v>
      </c>
      <c r="Q162" s="8" t="e" cm="1">
        <f t="array" ref="Q162">_xlfn.IFS(D162=30,0.87,D162=45,0.7,D162=60,0.5)</f>
        <v>#N/A</v>
      </c>
      <c r="R162" s="8">
        <f t="shared" si="51"/>
        <v>0</v>
      </c>
    </row>
    <row r="163" spans="1:23" ht="15" customHeight="1" x14ac:dyDescent="0.25">
      <c r="A163" s="236"/>
      <c r="B163" s="20" t="s">
        <v>204</v>
      </c>
      <c r="C163" s="19"/>
      <c r="D163" s="17"/>
      <c r="E163" s="16"/>
      <c r="F163" s="18"/>
      <c r="G163" s="18"/>
      <c r="H163" s="37" t="str">
        <f>IFERROR(VLOOKUP(F163,'Product Spec'!B:D,2,FALSE)," ")</f>
        <v xml:space="preserve"> </v>
      </c>
      <c r="I163" s="37" t="str">
        <f t="shared" si="48"/>
        <v xml:space="preserve"> </v>
      </c>
      <c r="J163" s="37" t="str">
        <f>IFERROR(VLOOKUP(F163,'Product Spec'!B:D,3,FALSE)," ")</f>
        <v xml:space="preserve"> </v>
      </c>
      <c r="K163" s="43" t="str">
        <f t="shared" si="49"/>
        <v xml:space="preserve"> </v>
      </c>
      <c r="M163"/>
      <c r="N163"/>
      <c r="O163"/>
      <c r="P163" s="8">
        <f t="shared" si="50"/>
        <v>1</v>
      </c>
      <c r="Q163" s="8" t="e" cm="1">
        <f t="array" ref="Q163">_xlfn.IFS(D163=30,0.87,D163=45,0.7,D163=60,0.5)</f>
        <v>#N/A</v>
      </c>
      <c r="R163" s="8">
        <f t="shared" si="51"/>
        <v>0</v>
      </c>
    </row>
    <row r="164" spans="1:23" ht="15" customHeight="1" x14ac:dyDescent="0.25">
      <c r="A164" s="236"/>
      <c r="B164" s="98" t="s">
        <v>170</v>
      </c>
      <c r="C164" s="99"/>
      <c r="D164" s="99"/>
      <c r="E164" s="99"/>
      <c r="F164" s="99"/>
      <c r="G164" s="100"/>
      <c r="H164" s="179" cm="1">
        <f t="array" ref="H164">IF(D130&lt;3,0,SUM(IFERROR(I158:I163,0)))</f>
        <v>0</v>
      </c>
      <c r="I164" s="180"/>
      <c r="J164" s="179" cm="1">
        <f t="array" ref="J164">IF(D130&lt;3,0,SUM(IFERROR(K158:K163,0)))</f>
        <v>0</v>
      </c>
      <c r="K164" s="181"/>
      <c r="M164"/>
      <c r="N164"/>
      <c r="O164"/>
    </row>
    <row r="165" spans="1:23" ht="15" customHeight="1" x14ac:dyDescent="0.25">
      <c r="A165" s="44" t="s">
        <v>168</v>
      </c>
      <c r="B165" s="160"/>
      <c r="C165" s="161"/>
      <c r="D165" s="99" t="s">
        <v>166</v>
      </c>
      <c r="E165" s="99"/>
      <c r="F165" s="99"/>
      <c r="G165" s="100"/>
      <c r="H165" s="150" t="e">
        <f>MAX(100,(0.5*$D$125)/$D$130,V158)</f>
        <v>#N/A</v>
      </c>
      <c r="I165" s="151"/>
      <c r="J165" s="150">
        <f>MAX(100,(0.5*$I$125)/$D$130,V158)</f>
        <v>100</v>
      </c>
      <c r="K165" s="152"/>
      <c r="M165"/>
      <c r="N165"/>
      <c r="O165"/>
    </row>
    <row r="166" spans="1:23" ht="15" customHeight="1" x14ac:dyDescent="0.25">
      <c r="A166" s="153" t="e">
        <f>IF(OR(S158&lt;1,S159&lt;1),"Warning: Doesn’t meet the minimum BU's requirement per line."," ")</f>
        <v>#N/A</v>
      </c>
      <c r="B166" s="154"/>
      <c r="C166" s="154"/>
      <c r="D166" s="154"/>
      <c r="E166" s="154"/>
      <c r="F166" s="154"/>
      <c r="G166" s="154"/>
      <c r="H166" s="154"/>
      <c r="I166" s="154"/>
      <c r="J166" s="154"/>
      <c r="K166" s="155"/>
      <c r="M166"/>
      <c r="N166"/>
      <c r="O166"/>
      <c r="P166"/>
      <c r="Q166"/>
      <c r="R166"/>
      <c r="S166"/>
      <c r="T166"/>
      <c r="U166"/>
      <c r="V166"/>
      <c r="W166"/>
    </row>
    <row r="167" spans="1:23" ht="15" customHeight="1" x14ac:dyDescent="0.25">
      <c r="A167" s="170"/>
      <c r="B167" s="171"/>
      <c r="C167" s="171"/>
      <c r="D167" s="171"/>
      <c r="E167" s="171"/>
      <c r="F167" s="171"/>
      <c r="G167" s="171"/>
      <c r="H167" s="171"/>
      <c r="I167" s="171"/>
      <c r="J167" s="171"/>
      <c r="K167" s="172"/>
      <c r="M167"/>
      <c r="N167"/>
      <c r="O167"/>
      <c r="P167"/>
      <c r="Q167"/>
      <c r="R167"/>
      <c r="S167"/>
      <c r="T167"/>
      <c r="U167"/>
      <c r="V167"/>
      <c r="W167"/>
    </row>
    <row r="168" spans="1:23" ht="15" customHeight="1" x14ac:dyDescent="0.25">
      <c r="A168" s="42" t="s">
        <v>83</v>
      </c>
      <c r="B168" s="33" t="s">
        <v>198</v>
      </c>
      <c r="C168" s="34" t="s">
        <v>86</v>
      </c>
      <c r="D168" s="33" t="s">
        <v>87</v>
      </c>
      <c r="E168" s="33" t="s">
        <v>111</v>
      </c>
      <c r="F168" s="33" t="s">
        <v>84</v>
      </c>
      <c r="G168" s="33" t="s">
        <v>85</v>
      </c>
      <c r="H168" s="24" t="s">
        <v>165</v>
      </c>
      <c r="I168" s="24" t="s">
        <v>169</v>
      </c>
      <c r="J168" s="24" t="s">
        <v>165</v>
      </c>
      <c r="K168" s="41" t="s">
        <v>169</v>
      </c>
      <c r="M168"/>
      <c r="N168"/>
      <c r="O168"/>
      <c r="V168" s="8" t="s">
        <v>164</v>
      </c>
    </row>
    <row r="169" spans="1:23" ht="15" customHeight="1" x14ac:dyDescent="0.25">
      <c r="A169" s="236" t="s">
        <v>188</v>
      </c>
      <c r="B169" s="20" t="s">
        <v>199</v>
      </c>
      <c r="C169" s="19"/>
      <c r="D169" s="17"/>
      <c r="E169" s="16"/>
      <c r="F169" s="18"/>
      <c r="G169" s="18"/>
      <c r="H169" s="37" t="str">
        <f>IFERROR(VLOOKUP(F169,'Product Spec'!B:D,2,FALSE)," ")</f>
        <v xml:space="preserve"> </v>
      </c>
      <c r="I169" s="37" t="str">
        <f>IFERROR(C169*H169*P169*MIN(1,2.4/E169)," ")</f>
        <v xml:space="preserve"> </v>
      </c>
      <c r="J169" s="37" t="str">
        <f>IFERROR(VLOOKUP(F169,'Product Spec'!B:D,3,FALSE)," ")</f>
        <v xml:space="preserve"> </v>
      </c>
      <c r="K169" s="43" t="str">
        <f>IFERROR(C169*J169*P169*MIN(1,2.4/E169)," ")</f>
        <v xml:space="preserve"> </v>
      </c>
      <c r="M169"/>
      <c r="N169"/>
      <c r="O169"/>
      <c r="P169" s="8">
        <f>IF(OR(D169=30,D169=45,D169=60),Q169,COS(R169))</f>
        <v>1</v>
      </c>
      <c r="Q169" s="8" t="e" cm="1">
        <f t="array" ref="Q169">_xlfn.IFS(D169=30,0.87,D169=45,0.7,D169=60,0.5)</f>
        <v>#N/A</v>
      </c>
      <c r="R169" s="8">
        <f>(PI()/180)*D169</f>
        <v>0</v>
      </c>
      <c r="S169" s="8" t="e">
        <f>H175/H176</f>
        <v>#N/A</v>
      </c>
      <c r="V169" s="8">
        <f xml:space="preserve"> C176*15</f>
        <v>0</v>
      </c>
    </row>
    <row r="170" spans="1:23" ht="15" customHeight="1" x14ac:dyDescent="0.25">
      <c r="A170" s="236"/>
      <c r="B170" s="20" t="s">
        <v>200</v>
      </c>
      <c r="C170" s="19"/>
      <c r="D170" s="17"/>
      <c r="E170" s="16"/>
      <c r="F170" s="18"/>
      <c r="G170" s="18"/>
      <c r="H170" s="37" t="str">
        <f>IFERROR(VLOOKUP(F170,'Product Spec'!B:D,2,FALSE)," ")</f>
        <v xml:space="preserve"> </v>
      </c>
      <c r="I170" s="37" t="str">
        <f t="shared" ref="I170:I174" si="52">IFERROR(C170*H170*P170*MIN(1,2.4/E170)," ")</f>
        <v xml:space="preserve"> </v>
      </c>
      <c r="J170" s="37" t="str">
        <f>IFERROR(VLOOKUP(F170,'Product Spec'!B:D,3,FALSE)," ")</f>
        <v xml:space="preserve"> </v>
      </c>
      <c r="K170" s="43" t="str">
        <f t="shared" ref="K170:K174" si="53">IFERROR(C170*J170*P170*MIN(1,2.4/E170)," ")</f>
        <v xml:space="preserve"> </v>
      </c>
      <c r="M170"/>
      <c r="N170"/>
      <c r="O170"/>
      <c r="P170" s="8">
        <f t="shared" ref="P170:P174" si="54">IF(OR(D170=30,D170=45,D170=60),Q170,COS(R170))</f>
        <v>1</v>
      </c>
      <c r="Q170" s="8" t="e" cm="1">
        <f t="array" ref="Q170">_xlfn.IFS(D170=30,0.87,D170=45,0.7,D170=60,0.5)</f>
        <v>#N/A</v>
      </c>
      <c r="R170" s="8">
        <f t="shared" ref="R170:R174" si="55">(PI()/180)*D170</f>
        <v>0</v>
      </c>
      <c r="S170" s="8">
        <f>J175/J176</f>
        <v>0</v>
      </c>
    </row>
    <row r="171" spans="1:23" ht="15" customHeight="1" x14ac:dyDescent="0.25">
      <c r="A171" s="236"/>
      <c r="B171" s="20" t="s">
        <v>201</v>
      </c>
      <c r="C171" s="19"/>
      <c r="D171" s="17"/>
      <c r="E171" s="16"/>
      <c r="F171" s="18"/>
      <c r="G171" s="18"/>
      <c r="H171" s="37" t="str">
        <f>IFERROR(VLOOKUP(F171,'Product Spec'!B:D,2,FALSE)," ")</f>
        <v xml:space="preserve"> </v>
      </c>
      <c r="I171" s="37" t="str">
        <f t="shared" si="52"/>
        <v xml:space="preserve"> </v>
      </c>
      <c r="J171" s="37" t="str">
        <f>IFERROR(VLOOKUP(F171,'Product Spec'!B:D,3,FALSE)," ")</f>
        <v xml:space="preserve"> </v>
      </c>
      <c r="K171" s="43" t="str">
        <f t="shared" si="53"/>
        <v xml:space="preserve"> </v>
      </c>
      <c r="M171"/>
      <c r="N171"/>
      <c r="O171"/>
      <c r="P171" s="8">
        <f t="shared" si="54"/>
        <v>1</v>
      </c>
      <c r="Q171" s="8" t="e" cm="1">
        <f t="array" ref="Q171">_xlfn.IFS(D171=30,0.87,D171=45,0.7,D171=60,0.5)</f>
        <v>#N/A</v>
      </c>
      <c r="R171" s="8">
        <f t="shared" si="55"/>
        <v>0</v>
      </c>
    </row>
    <row r="172" spans="1:23" ht="15" customHeight="1" x14ac:dyDescent="0.25">
      <c r="A172" s="236"/>
      <c r="B172" s="20" t="s">
        <v>202</v>
      </c>
      <c r="C172" s="19"/>
      <c r="D172" s="17"/>
      <c r="E172" s="16"/>
      <c r="F172" s="18"/>
      <c r="G172" s="18"/>
      <c r="H172" s="37" t="str">
        <f>IFERROR(VLOOKUP(F172,'Product Spec'!B:D,2,FALSE)," ")</f>
        <v xml:space="preserve"> </v>
      </c>
      <c r="I172" s="37" t="str">
        <f t="shared" si="52"/>
        <v xml:space="preserve"> </v>
      </c>
      <c r="J172" s="37" t="str">
        <f>IFERROR(VLOOKUP(F172,'Product Spec'!B:D,3,FALSE)," ")</f>
        <v xml:space="preserve"> </v>
      </c>
      <c r="K172" s="43" t="str">
        <f t="shared" si="53"/>
        <v xml:space="preserve"> </v>
      </c>
      <c r="M172"/>
      <c r="N172"/>
      <c r="O172"/>
      <c r="P172" s="8">
        <f t="shared" si="54"/>
        <v>1</v>
      </c>
      <c r="Q172" s="8" t="e" cm="1">
        <f t="array" ref="Q172">_xlfn.IFS(D172=30,0.87,D172=45,0.7,D172=60,0.5)</f>
        <v>#N/A</v>
      </c>
      <c r="R172" s="8">
        <f t="shared" si="55"/>
        <v>0</v>
      </c>
    </row>
    <row r="173" spans="1:23" ht="15" customHeight="1" x14ac:dyDescent="0.25">
      <c r="A173" s="236"/>
      <c r="B173" s="20" t="s">
        <v>203</v>
      </c>
      <c r="C173" s="19"/>
      <c r="D173" s="17"/>
      <c r="E173" s="16"/>
      <c r="F173" s="18"/>
      <c r="G173" s="18"/>
      <c r="H173" s="37" t="str">
        <f>IFERROR(VLOOKUP(F173,'Product Spec'!B:D,2,FALSE)," ")</f>
        <v xml:space="preserve"> </v>
      </c>
      <c r="I173" s="37" t="str">
        <f t="shared" si="52"/>
        <v xml:space="preserve"> </v>
      </c>
      <c r="J173" s="37" t="str">
        <f>IFERROR(VLOOKUP(F173,'Product Spec'!B:D,3,FALSE)," ")</f>
        <v xml:space="preserve"> </v>
      </c>
      <c r="K173" s="43" t="str">
        <f t="shared" si="53"/>
        <v xml:space="preserve"> </v>
      </c>
      <c r="M173"/>
      <c r="N173"/>
      <c r="O173"/>
      <c r="P173" s="8">
        <f t="shared" si="54"/>
        <v>1</v>
      </c>
      <c r="Q173" s="8" t="e" cm="1">
        <f t="array" ref="Q173">_xlfn.IFS(D173=30,0.87,D173=45,0.7,D173=60,0.5)</f>
        <v>#N/A</v>
      </c>
      <c r="R173" s="8">
        <f t="shared" si="55"/>
        <v>0</v>
      </c>
    </row>
    <row r="174" spans="1:23" ht="15" customHeight="1" x14ac:dyDescent="0.25">
      <c r="A174" s="236"/>
      <c r="B174" s="20" t="s">
        <v>204</v>
      </c>
      <c r="C174" s="19"/>
      <c r="D174" s="17"/>
      <c r="E174" s="16"/>
      <c r="F174" s="18"/>
      <c r="G174" s="18"/>
      <c r="H174" s="37" t="str">
        <f>IFERROR(VLOOKUP(F174,'Product Spec'!B:D,2,FALSE)," ")</f>
        <v xml:space="preserve"> </v>
      </c>
      <c r="I174" s="37" t="str">
        <f t="shared" si="52"/>
        <v xml:space="preserve"> </v>
      </c>
      <c r="J174" s="37" t="str">
        <f>IFERROR(VLOOKUP(F174,'Product Spec'!B:D,3,FALSE)," ")</f>
        <v xml:space="preserve"> </v>
      </c>
      <c r="K174" s="43" t="str">
        <f t="shared" si="53"/>
        <v xml:space="preserve"> </v>
      </c>
      <c r="M174"/>
      <c r="N174"/>
      <c r="O174"/>
      <c r="P174" s="8">
        <f t="shared" si="54"/>
        <v>1</v>
      </c>
      <c r="Q174" s="8" t="e" cm="1">
        <f t="array" ref="Q174">_xlfn.IFS(D174=30,0.87,D174=45,0.7,D174=60,0.5)</f>
        <v>#N/A</v>
      </c>
      <c r="R174" s="8">
        <f t="shared" si="55"/>
        <v>0</v>
      </c>
    </row>
    <row r="175" spans="1:23" ht="15" customHeight="1" x14ac:dyDescent="0.25">
      <c r="A175" s="236"/>
      <c r="B175" s="98" t="s">
        <v>170</v>
      </c>
      <c r="C175" s="99"/>
      <c r="D175" s="99"/>
      <c r="E175" s="99"/>
      <c r="F175" s="99"/>
      <c r="G175" s="100"/>
      <c r="H175" s="179" cm="1">
        <f t="array" ref="H175">IF(D130&lt;4,0,SUM(IFERROR(I169:I174,0)))</f>
        <v>0</v>
      </c>
      <c r="I175" s="180"/>
      <c r="J175" s="179" cm="1">
        <f t="array" ref="J175">IF(D130&lt;4,0,SUM(IFERROR(K169:K174,0)))</f>
        <v>0</v>
      </c>
      <c r="K175" s="181"/>
      <c r="M175"/>
      <c r="N175"/>
      <c r="O175"/>
    </row>
    <row r="176" spans="1:23" ht="15" customHeight="1" x14ac:dyDescent="0.25">
      <c r="A176" s="44" t="s">
        <v>168</v>
      </c>
      <c r="B176" s="160"/>
      <c r="C176" s="161"/>
      <c r="D176" s="99" t="s">
        <v>166</v>
      </c>
      <c r="E176" s="99"/>
      <c r="F176" s="99"/>
      <c r="G176" s="100"/>
      <c r="H176" s="150" t="e">
        <f>MAX(100,(0.5*$D$125)/$D$130,V169)</f>
        <v>#N/A</v>
      </c>
      <c r="I176" s="151"/>
      <c r="J176" s="150">
        <f>MAX(100,(0.5*$I$125)/$D$130,V169)</f>
        <v>100</v>
      </c>
      <c r="K176" s="152"/>
      <c r="M176"/>
      <c r="N176"/>
      <c r="O176"/>
    </row>
    <row r="177" spans="1:23" ht="15" customHeight="1" x14ac:dyDescent="0.25">
      <c r="A177" s="153" t="e">
        <f>IF(OR(S169&lt;1,S170&lt;1),"Warning: Doesn’t meet the minimum BU's requirement per line."," ")</f>
        <v>#N/A</v>
      </c>
      <c r="B177" s="154"/>
      <c r="C177" s="154"/>
      <c r="D177" s="154"/>
      <c r="E177" s="154"/>
      <c r="F177" s="154"/>
      <c r="G177" s="154"/>
      <c r="H177" s="154"/>
      <c r="I177" s="154"/>
      <c r="J177" s="154"/>
      <c r="K177" s="155"/>
      <c r="M177"/>
      <c r="N177"/>
      <c r="O177"/>
      <c r="P177"/>
      <c r="Q177"/>
      <c r="R177"/>
      <c r="S177"/>
      <c r="T177"/>
      <c r="U177"/>
      <c r="V177"/>
      <c r="W177"/>
    </row>
    <row r="178" spans="1:23" ht="15" customHeight="1" x14ac:dyDescent="0.25">
      <c r="A178" s="156"/>
      <c r="B178" s="157"/>
      <c r="C178" s="157"/>
      <c r="D178" s="157"/>
      <c r="E178" s="157"/>
      <c r="F178" s="157"/>
      <c r="G178" s="157"/>
      <c r="H178" s="157"/>
      <c r="I178" s="157"/>
      <c r="J178" s="157"/>
      <c r="K178" s="158"/>
      <c r="M178"/>
      <c r="N178"/>
      <c r="O178"/>
      <c r="P178"/>
      <c r="Q178"/>
      <c r="R178"/>
      <c r="S178"/>
      <c r="T178"/>
      <c r="U178"/>
      <c r="V178"/>
    </row>
    <row r="179" spans="1:23" ht="15" customHeight="1" x14ac:dyDescent="0.25">
      <c r="A179" s="42" t="s">
        <v>83</v>
      </c>
      <c r="B179" s="33" t="s">
        <v>198</v>
      </c>
      <c r="C179" s="34" t="s">
        <v>86</v>
      </c>
      <c r="D179" s="33" t="s">
        <v>87</v>
      </c>
      <c r="E179" s="33" t="s">
        <v>111</v>
      </c>
      <c r="F179" s="33" t="s">
        <v>84</v>
      </c>
      <c r="G179" s="33" t="s">
        <v>85</v>
      </c>
      <c r="H179" s="24" t="s">
        <v>165</v>
      </c>
      <c r="I179" s="24" t="s">
        <v>169</v>
      </c>
      <c r="J179" s="24" t="s">
        <v>165</v>
      </c>
      <c r="K179" s="41" t="s">
        <v>169</v>
      </c>
      <c r="M179"/>
      <c r="N179"/>
      <c r="O179"/>
      <c r="V179" s="8" t="s">
        <v>164</v>
      </c>
    </row>
    <row r="180" spans="1:23" ht="15" customHeight="1" x14ac:dyDescent="0.25">
      <c r="A180" s="236" t="s">
        <v>189</v>
      </c>
      <c r="B180" s="20" t="s">
        <v>199</v>
      </c>
      <c r="C180" s="19"/>
      <c r="D180" s="17"/>
      <c r="E180" s="16"/>
      <c r="F180" s="18"/>
      <c r="G180" s="18"/>
      <c r="H180" s="37" t="str">
        <f>IFERROR(VLOOKUP(F180,'Product Spec'!B:D,2,FALSE)," ")</f>
        <v xml:space="preserve"> </v>
      </c>
      <c r="I180" s="37" t="str">
        <f>IFERROR(C180*H180*P180*MIN(1,2.4/E180)," ")</f>
        <v xml:space="preserve"> </v>
      </c>
      <c r="J180" s="37" t="str">
        <f>IFERROR(VLOOKUP(F180,'Product Spec'!B:D,3,FALSE)," ")</f>
        <v xml:space="preserve"> </v>
      </c>
      <c r="K180" s="43" t="str">
        <f>IFERROR(C180*J180*P180*MIN(1,2.4/E180)," ")</f>
        <v xml:space="preserve"> </v>
      </c>
      <c r="M180"/>
      <c r="N180"/>
      <c r="O180"/>
      <c r="P180" s="8">
        <f>IF(OR(D180=30,D180=45,D180=60),Q180,COS(R180))</f>
        <v>1</v>
      </c>
      <c r="Q180" s="8" t="e" cm="1">
        <f t="array" ref="Q180">_xlfn.IFS(D180=30,0.87,D180=45,0.7,D180=60,0.5)</f>
        <v>#N/A</v>
      </c>
      <c r="R180" s="8">
        <f>(PI()/180)*D180</f>
        <v>0</v>
      </c>
      <c r="S180" s="8" t="e">
        <f>H186/H187</f>
        <v>#N/A</v>
      </c>
      <c r="V180" s="8">
        <f xml:space="preserve"> C187*15</f>
        <v>0</v>
      </c>
    </row>
    <row r="181" spans="1:23" ht="15" customHeight="1" x14ac:dyDescent="0.25">
      <c r="A181" s="236"/>
      <c r="B181" s="20" t="s">
        <v>200</v>
      </c>
      <c r="C181" s="19"/>
      <c r="D181" s="17"/>
      <c r="E181" s="16"/>
      <c r="F181" s="18"/>
      <c r="G181" s="18"/>
      <c r="H181" s="37" t="str">
        <f>IFERROR(VLOOKUP(F181,'Product Spec'!B:D,2,FALSE)," ")</f>
        <v xml:space="preserve"> </v>
      </c>
      <c r="I181" s="37" t="str">
        <f t="shared" ref="I181:I185" si="56">IFERROR(C181*H181*P181*MIN(1,2.4/E181)," ")</f>
        <v xml:space="preserve"> </v>
      </c>
      <c r="J181" s="37" t="str">
        <f>IFERROR(VLOOKUP(F181,'Product Spec'!B:D,3,FALSE)," ")</f>
        <v xml:space="preserve"> </v>
      </c>
      <c r="K181" s="43" t="str">
        <f t="shared" ref="K181:K185" si="57">IFERROR(C181*J181*P181*MIN(1,2.4/E181)," ")</f>
        <v xml:space="preserve"> </v>
      </c>
      <c r="M181"/>
      <c r="N181"/>
      <c r="O181"/>
      <c r="P181" s="8">
        <f t="shared" ref="P181:P185" si="58">IF(OR(D181=30,D181=45,D181=60),Q181,COS(R181))</f>
        <v>1</v>
      </c>
      <c r="Q181" s="8" t="e" cm="1">
        <f t="array" ref="Q181">_xlfn.IFS(D181=30,0.87,D181=45,0.7,D181=60,0.5)</f>
        <v>#N/A</v>
      </c>
      <c r="R181" s="8">
        <f t="shared" ref="R181:R185" si="59">(PI()/180)*D181</f>
        <v>0</v>
      </c>
      <c r="S181" s="8">
        <f>J186/J187</f>
        <v>0</v>
      </c>
    </row>
    <row r="182" spans="1:23" ht="15" customHeight="1" x14ac:dyDescent="0.25">
      <c r="A182" s="236"/>
      <c r="B182" s="20" t="s">
        <v>201</v>
      </c>
      <c r="C182" s="19"/>
      <c r="D182" s="17"/>
      <c r="E182" s="16"/>
      <c r="F182" s="18"/>
      <c r="G182" s="18"/>
      <c r="H182" s="37" t="str">
        <f>IFERROR(VLOOKUP(F182,'Product Spec'!B:D,2,FALSE)," ")</f>
        <v xml:space="preserve"> </v>
      </c>
      <c r="I182" s="37" t="str">
        <f t="shared" si="56"/>
        <v xml:space="preserve"> </v>
      </c>
      <c r="J182" s="37" t="str">
        <f>IFERROR(VLOOKUP(F182,'Product Spec'!B:D,3,FALSE)," ")</f>
        <v xml:space="preserve"> </v>
      </c>
      <c r="K182" s="43" t="str">
        <f t="shared" si="57"/>
        <v xml:space="preserve"> </v>
      </c>
      <c r="M182"/>
      <c r="N182"/>
      <c r="O182"/>
      <c r="P182" s="8">
        <f t="shared" si="58"/>
        <v>1</v>
      </c>
      <c r="Q182" s="8" t="e" cm="1">
        <f t="array" ref="Q182">_xlfn.IFS(D182=30,0.87,D182=45,0.7,D182=60,0.5)</f>
        <v>#N/A</v>
      </c>
      <c r="R182" s="8">
        <f t="shared" si="59"/>
        <v>0</v>
      </c>
    </row>
    <row r="183" spans="1:23" ht="15" customHeight="1" x14ac:dyDescent="0.25">
      <c r="A183" s="236"/>
      <c r="B183" s="20" t="s">
        <v>202</v>
      </c>
      <c r="C183" s="19"/>
      <c r="D183" s="17"/>
      <c r="E183" s="16"/>
      <c r="F183" s="18"/>
      <c r="G183" s="18"/>
      <c r="H183" s="37" t="str">
        <f>IFERROR(VLOOKUP(F183,'Product Spec'!B:D,2,FALSE)," ")</f>
        <v xml:space="preserve"> </v>
      </c>
      <c r="I183" s="37" t="str">
        <f t="shared" si="56"/>
        <v xml:space="preserve"> </v>
      </c>
      <c r="J183" s="37" t="str">
        <f>IFERROR(VLOOKUP(F183,'Product Spec'!B:D,3,FALSE)," ")</f>
        <v xml:space="preserve"> </v>
      </c>
      <c r="K183" s="43" t="str">
        <f t="shared" si="57"/>
        <v xml:space="preserve"> </v>
      </c>
      <c r="M183"/>
      <c r="N183"/>
      <c r="O183"/>
      <c r="P183" s="8">
        <f t="shared" si="58"/>
        <v>1</v>
      </c>
      <c r="Q183" s="8" t="e" cm="1">
        <f t="array" ref="Q183">_xlfn.IFS(D183=30,0.87,D183=45,0.7,D183=60,0.5)</f>
        <v>#N/A</v>
      </c>
      <c r="R183" s="8">
        <f t="shared" si="59"/>
        <v>0</v>
      </c>
    </row>
    <row r="184" spans="1:23" ht="15" customHeight="1" x14ac:dyDescent="0.25">
      <c r="A184" s="236"/>
      <c r="B184" s="20" t="s">
        <v>203</v>
      </c>
      <c r="C184" s="19"/>
      <c r="D184" s="17"/>
      <c r="E184" s="16"/>
      <c r="F184" s="18"/>
      <c r="G184" s="18"/>
      <c r="H184" s="37" t="str">
        <f>IFERROR(VLOOKUP(F184,'Product Spec'!B:D,2,FALSE)," ")</f>
        <v xml:space="preserve"> </v>
      </c>
      <c r="I184" s="37" t="str">
        <f t="shared" si="56"/>
        <v xml:space="preserve"> </v>
      </c>
      <c r="J184" s="37" t="str">
        <f>IFERROR(VLOOKUP(F184,'Product Spec'!B:D,3,FALSE)," ")</f>
        <v xml:space="preserve"> </v>
      </c>
      <c r="K184" s="43" t="str">
        <f t="shared" si="57"/>
        <v xml:space="preserve"> </v>
      </c>
      <c r="M184"/>
      <c r="N184"/>
      <c r="O184"/>
      <c r="P184" s="8">
        <f t="shared" si="58"/>
        <v>1</v>
      </c>
      <c r="Q184" s="8" t="e" cm="1">
        <f t="array" ref="Q184">_xlfn.IFS(D184=30,0.87,D184=45,0.7,D184=60,0.5)</f>
        <v>#N/A</v>
      </c>
      <c r="R184" s="8">
        <f t="shared" si="59"/>
        <v>0</v>
      </c>
    </row>
    <row r="185" spans="1:23" ht="15" customHeight="1" x14ac:dyDescent="0.25">
      <c r="A185" s="236"/>
      <c r="B185" s="20" t="s">
        <v>204</v>
      </c>
      <c r="C185" s="19"/>
      <c r="D185" s="17"/>
      <c r="E185" s="16"/>
      <c r="F185" s="18"/>
      <c r="G185" s="18"/>
      <c r="H185" s="37" t="str">
        <f>IFERROR(VLOOKUP(F185,'Product Spec'!B:D,2,FALSE)," ")</f>
        <v xml:space="preserve"> </v>
      </c>
      <c r="I185" s="37" t="str">
        <f t="shared" si="56"/>
        <v xml:space="preserve"> </v>
      </c>
      <c r="J185" s="37" t="str">
        <f>IFERROR(VLOOKUP(F185,'Product Spec'!B:D,3,FALSE)," ")</f>
        <v xml:space="preserve"> </v>
      </c>
      <c r="K185" s="43" t="str">
        <f t="shared" si="57"/>
        <v xml:space="preserve"> </v>
      </c>
      <c r="M185"/>
      <c r="N185"/>
      <c r="O185"/>
      <c r="P185" s="8">
        <f t="shared" si="58"/>
        <v>1</v>
      </c>
      <c r="Q185" s="8" t="e" cm="1">
        <f t="array" ref="Q185">_xlfn.IFS(D185=30,0.87,D185=45,0.7,D185=60,0.5)</f>
        <v>#N/A</v>
      </c>
      <c r="R185" s="8">
        <f t="shared" si="59"/>
        <v>0</v>
      </c>
    </row>
    <row r="186" spans="1:23" ht="15" customHeight="1" x14ac:dyDescent="0.25">
      <c r="A186" s="236"/>
      <c r="B186" s="98" t="s">
        <v>170</v>
      </c>
      <c r="C186" s="99"/>
      <c r="D186" s="99"/>
      <c r="E186" s="99"/>
      <c r="F186" s="99"/>
      <c r="G186" s="100"/>
      <c r="H186" s="179" cm="1">
        <f t="array" ref="H186">IF(D130&lt;5,0,SUM(IFERROR(I180:I185,0)))</f>
        <v>0</v>
      </c>
      <c r="I186" s="180"/>
      <c r="J186" s="179" cm="1">
        <f t="array" ref="J186">IF(D130&lt;5,0,SUM(IFERROR(K180:K185,0)))</f>
        <v>0</v>
      </c>
      <c r="K186" s="181"/>
      <c r="M186"/>
      <c r="N186"/>
      <c r="O186"/>
    </row>
    <row r="187" spans="1:23" ht="15" customHeight="1" x14ac:dyDescent="0.25">
      <c r="A187" s="44" t="s">
        <v>168</v>
      </c>
      <c r="B187" s="160"/>
      <c r="C187" s="161"/>
      <c r="D187" s="99" t="s">
        <v>166</v>
      </c>
      <c r="E187" s="99"/>
      <c r="F187" s="99"/>
      <c r="G187" s="100"/>
      <c r="H187" s="150" t="e">
        <f>MAX(100,(0.5*$D$125)/$D$130,V180)</f>
        <v>#N/A</v>
      </c>
      <c r="I187" s="151"/>
      <c r="J187" s="150">
        <f>MAX(100,(0.5*$I$125)/$D$130,V180)</f>
        <v>100</v>
      </c>
      <c r="K187" s="152"/>
      <c r="M187"/>
      <c r="N187"/>
      <c r="O187"/>
    </row>
    <row r="188" spans="1:23" ht="15" customHeight="1" x14ac:dyDescent="0.25">
      <c r="A188" s="153" t="e">
        <f>IF(OR(S180&lt;1,S181&lt;1),"Warning: Doesn’t meet the minimum BU's requirement per line."," ")</f>
        <v>#N/A</v>
      </c>
      <c r="B188" s="154"/>
      <c r="C188" s="154"/>
      <c r="D188" s="154"/>
      <c r="E188" s="154"/>
      <c r="F188" s="154"/>
      <c r="G188" s="154"/>
      <c r="H188" s="154"/>
      <c r="I188" s="154"/>
      <c r="J188" s="154"/>
      <c r="K188" s="155"/>
      <c r="M188"/>
      <c r="N188"/>
      <c r="O188"/>
      <c r="P188"/>
      <c r="Q188"/>
      <c r="R188"/>
      <c r="S188"/>
      <c r="T188"/>
      <c r="U188"/>
      <c r="V188"/>
      <c r="W188"/>
    </row>
    <row r="189" spans="1:23" ht="15" customHeight="1" x14ac:dyDescent="0.25">
      <c r="A189" s="156"/>
      <c r="B189" s="157"/>
      <c r="C189" s="157"/>
      <c r="D189" s="157"/>
      <c r="E189" s="157"/>
      <c r="F189" s="157"/>
      <c r="G189" s="157"/>
      <c r="H189" s="157"/>
      <c r="I189" s="157"/>
      <c r="J189" s="157"/>
      <c r="K189" s="158"/>
      <c r="M189"/>
      <c r="N189"/>
      <c r="O189"/>
      <c r="P189"/>
      <c r="Q189"/>
      <c r="R189"/>
      <c r="S189"/>
      <c r="T189"/>
      <c r="U189"/>
      <c r="V189"/>
    </row>
    <row r="190" spans="1:23" ht="15" customHeight="1" x14ac:dyDescent="0.25">
      <c r="A190" s="42" t="s">
        <v>83</v>
      </c>
      <c r="B190" s="33" t="s">
        <v>198</v>
      </c>
      <c r="C190" s="34" t="s">
        <v>86</v>
      </c>
      <c r="D190" s="33" t="s">
        <v>87</v>
      </c>
      <c r="E190" s="33" t="s">
        <v>111</v>
      </c>
      <c r="F190" s="33" t="s">
        <v>84</v>
      </c>
      <c r="G190" s="33" t="s">
        <v>85</v>
      </c>
      <c r="H190" s="24" t="s">
        <v>165</v>
      </c>
      <c r="I190" s="24" t="s">
        <v>169</v>
      </c>
      <c r="J190" s="24" t="s">
        <v>165</v>
      </c>
      <c r="K190" s="41" t="s">
        <v>169</v>
      </c>
      <c r="M190"/>
      <c r="N190"/>
      <c r="O190"/>
      <c r="V190" s="8" t="s">
        <v>164</v>
      </c>
    </row>
    <row r="191" spans="1:23" ht="15" customHeight="1" x14ac:dyDescent="0.25">
      <c r="A191" s="236" t="s">
        <v>190</v>
      </c>
      <c r="B191" s="20" t="s">
        <v>199</v>
      </c>
      <c r="C191" s="19"/>
      <c r="D191" s="17"/>
      <c r="E191" s="16"/>
      <c r="F191" s="18"/>
      <c r="G191" s="18"/>
      <c r="H191" s="37" t="str">
        <f>IFERROR(VLOOKUP(F191,'Product Spec'!B:D,2,FALSE)," ")</f>
        <v xml:space="preserve"> </v>
      </c>
      <c r="I191" s="37" t="str">
        <f>IFERROR(C191*H191*P191*MIN(1,2.4/E191)," ")</f>
        <v xml:space="preserve"> </v>
      </c>
      <c r="J191" s="37" t="str">
        <f>IFERROR(VLOOKUP(F191,'Product Spec'!B:D,3,FALSE)," ")</f>
        <v xml:space="preserve"> </v>
      </c>
      <c r="K191" s="43" t="str">
        <f>IFERROR(C191*J191*P191*MIN(1,2.4/E191)," ")</f>
        <v xml:space="preserve"> </v>
      </c>
      <c r="M191"/>
      <c r="N191"/>
      <c r="O191"/>
      <c r="P191" s="8">
        <f>IF(OR(D191=30,D191=45,D191=60),Q191,COS(R191))</f>
        <v>1</v>
      </c>
      <c r="Q191" s="8" t="e" cm="1">
        <f t="array" ref="Q191">_xlfn.IFS(D191=30,0.87,D191=45,0.7,D191=60,0.5)</f>
        <v>#N/A</v>
      </c>
      <c r="R191" s="8">
        <f>(PI()/180)*D191</f>
        <v>0</v>
      </c>
      <c r="S191" s="8" t="e">
        <f>H197/H198</f>
        <v>#N/A</v>
      </c>
      <c r="V191" s="8">
        <f xml:space="preserve"> C198*15</f>
        <v>0</v>
      </c>
    </row>
    <row r="192" spans="1:23" ht="15" customHeight="1" x14ac:dyDescent="0.25">
      <c r="A192" s="236"/>
      <c r="B192" s="20" t="s">
        <v>200</v>
      </c>
      <c r="C192" s="19"/>
      <c r="D192" s="17"/>
      <c r="E192" s="16"/>
      <c r="F192" s="18"/>
      <c r="G192" s="18"/>
      <c r="H192" s="37" t="str">
        <f>IFERROR(VLOOKUP(F192,'Product Spec'!B:D,2,FALSE)," ")</f>
        <v xml:space="preserve"> </v>
      </c>
      <c r="I192" s="37" t="str">
        <f t="shared" ref="I192:I196" si="60">IFERROR(C192*H192*P192*MIN(1,2.4/E192)," ")</f>
        <v xml:space="preserve"> </v>
      </c>
      <c r="J192" s="37" t="str">
        <f>IFERROR(VLOOKUP(F192,'Product Spec'!B:D,3,FALSE)," ")</f>
        <v xml:space="preserve"> </v>
      </c>
      <c r="K192" s="43" t="str">
        <f t="shared" ref="K192:K196" si="61">IFERROR(C192*J192*P192*MIN(1,2.4/E192)," ")</f>
        <v xml:space="preserve"> </v>
      </c>
      <c r="M192"/>
      <c r="N192"/>
      <c r="O192"/>
      <c r="P192" s="8">
        <f t="shared" ref="P192:P196" si="62">IF(OR(D192=30,D192=45,D192=60),Q192,COS(R192))</f>
        <v>1</v>
      </c>
      <c r="Q192" s="8" t="e" cm="1">
        <f t="array" ref="Q192">_xlfn.IFS(D192=30,0.87,D192=45,0.7,D192=60,0.5)</f>
        <v>#N/A</v>
      </c>
      <c r="R192" s="8">
        <f t="shared" ref="R192:R196" si="63">(PI()/180)*D192</f>
        <v>0</v>
      </c>
      <c r="S192" s="8">
        <f>J197/J198</f>
        <v>0</v>
      </c>
    </row>
    <row r="193" spans="1:23" ht="15" customHeight="1" x14ac:dyDescent="0.25">
      <c r="A193" s="236"/>
      <c r="B193" s="20" t="s">
        <v>201</v>
      </c>
      <c r="C193" s="19"/>
      <c r="D193" s="17"/>
      <c r="E193" s="16"/>
      <c r="F193" s="18"/>
      <c r="G193" s="18"/>
      <c r="H193" s="37" t="str">
        <f>IFERROR(VLOOKUP(F193,'Product Spec'!B:D,2,FALSE)," ")</f>
        <v xml:space="preserve"> </v>
      </c>
      <c r="I193" s="37" t="str">
        <f t="shared" si="60"/>
        <v xml:space="preserve"> </v>
      </c>
      <c r="J193" s="37" t="str">
        <f>IFERROR(VLOOKUP(F193,'Product Spec'!B:D,3,FALSE)," ")</f>
        <v xml:space="preserve"> </v>
      </c>
      <c r="K193" s="43" t="str">
        <f t="shared" si="61"/>
        <v xml:space="preserve"> </v>
      </c>
      <c r="M193"/>
      <c r="N193"/>
      <c r="O193"/>
      <c r="P193" s="8">
        <f t="shared" si="62"/>
        <v>1</v>
      </c>
      <c r="Q193" s="8" t="e" cm="1">
        <f t="array" ref="Q193">_xlfn.IFS(D193=30,0.87,D193=45,0.7,D193=60,0.5)</f>
        <v>#N/A</v>
      </c>
      <c r="R193" s="8">
        <f t="shared" si="63"/>
        <v>0</v>
      </c>
    </row>
    <row r="194" spans="1:23" ht="15" customHeight="1" x14ac:dyDescent="0.25">
      <c r="A194" s="236"/>
      <c r="B194" s="20" t="s">
        <v>202</v>
      </c>
      <c r="C194" s="19"/>
      <c r="D194" s="17"/>
      <c r="E194" s="16"/>
      <c r="F194" s="18"/>
      <c r="G194" s="18"/>
      <c r="H194" s="37" t="str">
        <f>IFERROR(VLOOKUP(F194,'Product Spec'!B:D,2,FALSE)," ")</f>
        <v xml:space="preserve"> </v>
      </c>
      <c r="I194" s="37" t="str">
        <f t="shared" si="60"/>
        <v xml:space="preserve"> </v>
      </c>
      <c r="J194" s="37" t="str">
        <f>IFERROR(VLOOKUP(F194,'Product Spec'!B:D,3,FALSE)," ")</f>
        <v xml:space="preserve"> </v>
      </c>
      <c r="K194" s="43" t="str">
        <f t="shared" si="61"/>
        <v xml:space="preserve"> </v>
      </c>
      <c r="M194"/>
      <c r="N194"/>
      <c r="O194"/>
      <c r="P194" s="8">
        <f t="shared" si="62"/>
        <v>1</v>
      </c>
      <c r="Q194" s="8" t="e" cm="1">
        <f t="array" ref="Q194">_xlfn.IFS(D194=30,0.87,D194=45,0.7,D194=60,0.5)</f>
        <v>#N/A</v>
      </c>
      <c r="R194" s="8">
        <f t="shared" si="63"/>
        <v>0</v>
      </c>
    </row>
    <row r="195" spans="1:23" ht="15" customHeight="1" x14ac:dyDescent="0.25">
      <c r="A195" s="236"/>
      <c r="B195" s="20" t="s">
        <v>203</v>
      </c>
      <c r="C195" s="19"/>
      <c r="D195" s="17"/>
      <c r="E195" s="16"/>
      <c r="F195" s="18"/>
      <c r="G195" s="18"/>
      <c r="H195" s="37" t="str">
        <f>IFERROR(VLOOKUP(F195,'Product Spec'!B:D,2,FALSE)," ")</f>
        <v xml:space="preserve"> </v>
      </c>
      <c r="I195" s="37" t="str">
        <f t="shared" si="60"/>
        <v xml:space="preserve"> </v>
      </c>
      <c r="J195" s="37" t="str">
        <f>IFERROR(VLOOKUP(F195,'Product Spec'!B:D,3,FALSE)," ")</f>
        <v xml:space="preserve"> </v>
      </c>
      <c r="K195" s="43" t="str">
        <f t="shared" si="61"/>
        <v xml:space="preserve"> </v>
      </c>
      <c r="M195"/>
      <c r="N195"/>
      <c r="O195"/>
      <c r="P195" s="8">
        <f t="shared" si="62"/>
        <v>1</v>
      </c>
      <c r="Q195" s="8" t="e" cm="1">
        <f t="array" ref="Q195">_xlfn.IFS(D195=30,0.87,D195=45,0.7,D195=60,0.5)</f>
        <v>#N/A</v>
      </c>
      <c r="R195" s="8">
        <f t="shared" si="63"/>
        <v>0</v>
      </c>
    </row>
    <row r="196" spans="1:23" ht="15" customHeight="1" x14ac:dyDescent="0.25">
      <c r="A196" s="236"/>
      <c r="B196" s="20" t="s">
        <v>204</v>
      </c>
      <c r="C196" s="19"/>
      <c r="D196" s="17"/>
      <c r="E196" s="16"/>
      <c r="F196" s="18"/>
      <c r="G196" s="18"/>
      <c r="H196" s="37" t="str">
        <f>IFERROR(VLOOKUP(F196,'Product Spec'!B:D,2,FALSE)," ")</f>
        <v xml:space="preserve"> </v>
      </c>
      <c r="I196" s="37" t="str">
        <f t="shared" si="60"/>
        <v xml:space="preserve"> </v>
      </c>
      <c r="J196" s="37" t="str">
        <f>IFERROR(VLOOKUP(F196,'Product Spec'!B:D,3,FALSE)," ")</f>
        <v xml:space="preserve"> </v>
      </c>
      <c r="K196" s="43" t="str">
        <f t="shared" si="61"/>
        <v xml:space="preserve"> </v>
      </c>
      <c r="M196"/>
      <c r="N196"/>
      <c r="O196"/>
      <c r="P196" s="8">
        <f t="shared" si="62"/>
        <v>1</v>
      </c>
      <c r="Q196" s="8" t="e" cm="1">
        <f t="array" ref="Q196">_xlfn.IFS(D196=30,0.87,D196=45,0.7,D196=60,0.5)</f>
        <v>#N/A</v>
      </c>
      <c r="R196" s="8">
        <f t="shared" si="63"/>
        <v>0</v>
      </c>
    </row>
    <row r="197" spans="1:23" ht="15" customHeight="1" x14ac:dyDescent="0.25">
      <c r="A197" s="236"/>
      <c r="B197" s="98" t="s">
        <v>170</v>
      </c>
      <c r="C197" s="99"/>
      <c r="D197" s="99"/>
      <c r="E197" s="99"/>
      <c r="F197" s="99"/>
      <c r="G197" s="100"/>
      <c r="H197" s="179" cm="1">
        <f t="array" ref="H197">IF(D130&lt;6,0,SUM(IFERROR(I191:I196,0)))</f>
        <v>0</v>
      </c>
      <c r="I197" s="180"/>
      <c r="J197" s="179" cm="1">
        <f t="array" ref="J197">IF(D130&lt;6,0,SUM(IFERROR(K191:K196,0)))</f>
        <v>0</v>
      </c>
      <c r="K197" s="181"/>
      <c r="M197"/>
      <c r="N197"/>
      <c r="O197"/>
    </row>
    <row r="198" spans="1:23" ht="15" customHeight="1" x14ac:dyDescent="0.25">
      <c r="A198" s="44" t="s">
        <v>168</v>
      </c>
      <c r="B198" s="160"/>
      <c r="C198" s="161"/>
      <c r="D198" s="99" t="s">
        <v>166</v>
      </c>
      <c r="E198" s="99"/>
      <c r="F198" s="99"/>
      <c r="G198" s="100"/>
      <c r="H198" s="150" t="e">
        <f>MAX(100,(0.5*$D$125)/$D$130,V191)</f>
        <v>#N/A</v>
      </c>
      <c r="I198" s="151"/>
      <c r="J198" s="150">
        <f>MAX(100,(0.5*$I$125)/$D$130,V191)</f>
        <v>100</v>
      </c>
      <c r="K198" s="152"/>
      <c r="M198"/>
      <c r="N198"/>
      <c r="O198"/>
    </row>
    <row r="199" spans="1:23" ht="15" customHeight="1" x14ac:dyDescent="0.25">
      <c r="A199" s="153" t="e">
        <f>IF(OR(S191&lt;1,S192&lt;1),"Warning: Doesn’t meet the minimum BU's requirement per line."," ")</f>
        <v>#N/A</v>
      </c>
      <c r="B199" s="154"/>
      <c r="C199" s="154"/>
      <c r="D199" s="154"/>
      <c r="E199" s="154"/>
      <c r="F199" s="154"/>
      <c r="G199" s="154"/>
      <c r="H199" s="154"/>
      <c r="I199" s="154"/>
      <c r="J199" s="154"/>
      <c r="K199" s="155"/>
      <c r="M199"/>
      <c r="N199"/>
      <c r="O199"/>
      <c r="P199"/>
      <c r="Q199"/>
      <c r="R199"/>
      <c r="S199"/>
      <c r="T199"/>
      <c r="U199"/>
      <c r="V199"/>
      <c r="W199"/>
    </row>
    <row r="200" spans="1:23" ht="15" customHeight="1" x14ac:dyDescent="0.25">
      <c r="A200" s="156"/>
      <c r="B200" s="157"/>
      <c r="C200" s="157"/>
      <c r="D200" s="157"/>
      <c r="E200" s="157"/>
      <c r="F200" s="157"/>
      <c r="G200" s="157"/>
      <c r="H200" s="157"/>
      <c r="I200" s="157"/>
      <c r="J200" s="157"/>
      <c r="K200" s="158"/>
      <c r="M200"/>
      <c r="N200"/>
      <c r="O200"/>
      <c r="P200"/>
      <c r="Q200"/>
      <c r="R200"/>
      <c r="S200"/>
      <c r="T200"/>
      <c r="U200"/>
      <c r="V200"/>
    </row>
    <row r="201" spans="1:23" ht="15" customHeight="1" x14ac:dyDescent="0.25">
      <c r="A201" s="42" t="s">
        <v>83</v>
      </c>
      <c r="B201" s="33" t="s">
        <v>198</v>
      </c>
      <c r="C201" s="34" t="s">
        <v>86</v>
      </c>
      <c r="D201" s="33" t="s">
        <v>87</v>
      </c>
      <c r="E201" s="33" t="s">
        <v>111</v>
      </c>
      <c r="F201" s="33" t="s">
        <v>84</v>
      </c>
      <c r="G201" s="33" t="s">
        <v>85</v>
      </c>
      <c r="H201" s="24" t="s">
        <v>165</v>
      </c>
      <c r="I201" s="24" t="s">
        <v>169</v>
      </c>
      <c r="J201" s="24" t="s">
        <v>165</v>
      </c>
      <c r="K201" s="41" t="s">
        <v>169</v>
      </c>
      <c r="M201"/>
      <c r="N201"/>
      <c r="O201"/>
      <c r="V201" s="8" t="s">
        <v>164</v>
      </c>
    </row>
    <row r="202" spans="1:23" ht="15" customHeight="1" x14ac:dyDescent="0.25">
      <c r="A202" s="236" t="s">
        <v>191</v>
      </c>
      <c r="B202" s="20" t="s">
        <v>199</v>
      </c>
      <c r="C202" s="19"/>
      <c r="D202" s="17"/>
      <c r="E202" s="16"/>
      <c r="F202" s="18"/>
      <c r="G202" s="18"/>
      <c r="H202" s="37" t="str">
        <f>IFERROR(VLOOKUP(F202,'Product Spec'!B:D,2,FALSE)," ")</f>
        <v xml:space="preserve"> </v>
      </c>
      <c r="I202" s="37" t="str">
        <f>IFERROR(C202*H202*P202*MIN(1,2.4/E202)," ")</f>
        <v xml:space="preserve"> </v>
      </c>
      <c r="J202" s="37" t="str">
        <f>IFERROR(VLOOKUP(F202,'Product Spec'!B:D,3,FALSE)," ")</f>
        <v xml:space="preserve"> </v>
      </c>
      <c r="K202" s="43" t="str">
        <f>IFERROR(C202*J202*P202*MIN(1,2.4/E202)," ")</f>
        <v xml:space="preserve"> </v>
      </c>
      <c r="M202"/>
      <c r="N202"/>
      <c r="O202"/>
      <c r="P202" s="8">
        <f>IF(OR(D202=30,D202=45,D202=60),Q202,COS(R202))</f>
        <v>1</v>
      </c>
      <c r="Q202" s="8" t="e" cm="1">
        <f t="array" ref="Q202">_xlfn.IFS(D202=30,0.87,D202=45,0.7,D202=60,0.5)</f>
        <v>#N/A</v>
      </c>
      <c r="R202" s="8">
        <f>(PI()/180)*D202</f>
        <v>0</v>
      </c>
      <c r="S202" s="8" t="e">
        <f>H208/H209</f>
        <v>#N/A</v>
      </c>
      <c r="V202" s="8">
        <f xml:space="preserve"> C209*15</f>
        <v>0</v>
      </c>
    </row>
    <row r="203" spans="1:23" ht="15" customHeight="1" x14ac:dyDescent="0.25">
      <c r="A203" s="236"/>
      <c r="B203" s="20" t="s">
        <v>200</v>
      </c>
      <c r="C203" s="19"/>
      <c r="D203" s="17"/>
      <c r="E203" s="16"/>
      <c r="F203" s="18"/>
      <c r="G203" s="18"/>
      <c r="H203" s="37" t="str">
        <f>IFERROR(VLOOKUP(F203,'Product Spec'!B:D,2,FALSE)," ")</f>
        <v xml:space="preserve"> </v>
      </c>
      <c r="I203" s="37" t="str">
        <f t="shared" ref="I203:I207" si="64">IFERROR(C203*H203*P203*MIN(1,2.4/E203)," ")</f>
        <v xml:space="preserve"> </v>
      </c>
      <c r="J203" s="37" t="str">
        <f>IFERROR(VLOOKUP(F203,'Product Spec'!B:D,3,FALSE)," ")</f>
        <v xml:space="preserve"> </v>
      </c>
      <c r="K203" s="43" t="str">
        <f t="shared" ref="K203:K207" si="65">IFERROR(C203*J203*P203*MIN(1,2.4/E203)," ")</f>
        <v xml:space="preserve"> </v>
      </c>
      <c r="M203"/>
      <c r="N203"/>
      <c r="O203"/>
      <c r="P203" s="8">
        <f t="shared" ref="P203:P207" si="66">IF(OR(D203=30,D203=45,D203=60),Q203,COS(R203))</f>
        <v>1</v>
      </c>
      <c r="Q203" s="8" t="e" cm="1">
        <f t="array" ref="Q203">_xlfn.IFS(D203=30,0.87,D203=45,0.7,D203=60,0.5)</f>
        <v>#N/A</v>
      </c>
      <c r="R203" s="8">
        <f t="shared" ref="R203:R207" si="67">(PI()/180)*D203</f>
        <v>0</v>
      </c>
      <c r="S203" s="8">
        <f>J208/J209</f>
        <v>0</v>
      </c>
    </row>
    <row r="204" spans="1:23" ht="15" customHeight="1" x14ac:dyDescent="0.25">
      <c r="A204" s="236"/>
      <c r="B204" s="20" t="s">
        <v>201</v>
      </c>
      <c r="C204" s="19"/>
      <c r="D204" s="17"/>
      <c r="E204" s="16"/>
      <c r="F204" s="18"/>
      <c r="G204" s="18"/>
      <c r="H204" s="37" t="str">
        <f>IFERROR(VLOOKUP(F204,'Product Spec'!B:D,2,FALSE)," ")</f>
        <v xml:space="preserve"> </v>
      </c>
      <c r="I204" s="37" t="str">
        <f t="shared" si="64"/>
        <v xml:space="preserve"> </v>
      </c>
      <c r="J204" s="37" t="str">
        <f>IFERROR(VLOOKUP(F204,'Product Spec'!B:D,3,FALSE)," ")</f>
        <v xml:space="preserve"> </v>
      </c>
      <c r="K204" s="43" t="str">
        <f t="shared" si="65"/>
        <v xml:space="preserve"> </v>
      </c>
      <c r="M204"/>
      <c r="N204"/>
      <c r="O204"/>
      <c r="P204" s="8">
        <f t="shared" si="66"/>
        <v>1</v>
      </c>
      <c r="Q204" s="8" t="e" cm="1">
        <f t="array" ref="Q204">_xlfn.IFS(D204=30,0.87,D204=45,0.7,D204=60,0.5)</f>
        <v>#N/A</v>
      </c>
      <c r="R204" s="8">
        <f t="shared" si="67"/>
        <v>0</v>
      </c>
    </row>
    <row r="205" spans="1:23" ht="15" customHeight="1" x14ac:dyDescent="0.25">
      <c r="A205" s="236"/>
      <c r="B205" s="20" t="s">
        <v>202</v>
      </c>
      <c r="C205" s="19"/>
      <c r="D205" s="17"/>
      <c r="E205" s="16"/>
      <c r="F205" s="18"/>
      <c r="G205" s="18"/>
      <c r="H205" s="37" t="str">
        <f>IFERROR(VLOOKUP(F205,'Product Spec'!B:D,2,FALSE)," ")</f>
        <v xml:space="preserve"> </v>
      </c>
      <c r="I205" s="37" t="str">
        <f t="shared" si="64"/>
        <v xml:space="preserve"> </v>
      </c>
      <c r="J205" s="37" t="str">
        <f>IFERROR(VLOOKUP(F205,'Product Spec'!B:D,3,FALSE)," ")</f>
        <v xml:space="preserve"> </v>
      </c>
      <c r="K205" s="43" t="str">
        <f t="shared" si="65"/>
        <v xml:space="preserve"> </v>
      </c>
      <c r="M205"/>
      <c r="N205"/>
      <c r="O205"/>
      <c r="P205" s="8">
        <f t="shared" si="66"/>
        <v>1</v>
      </c>
      <c r="Q205" s="8" t="e" cm="1">
        <f t="array" ref="Q205">_xlfn.IFS(D205=30,0.87,D205=45,0.7,D205=60,0.5)</f>
        <v>#N/A</v>
      </c>
      <c r="R205" s="8">
        <f t="shared" si="67"/>
        <v>0</v>
      </c>
    </row>
    <row r="206" spans="1:23" ht="15" customHeight="1" x14ac:dyDescent="0.25">
      <c r="A206" s="236"/>
      <c r="B206" s="20" t="s">
        <v>203</v>
      </c>
      <c r="C206" s="19"/>
      <c r="D206" s="17"/>
      <c r="E206" s="16"/>
      <c r="F206" s="18"/>
      <c r="G206" s="18"/>
      <c r="H206" s="37" t="str">
        <f>IFERROR(VLOOKUP(F206,'Product Spec'!B:D,2,FALSE)," ")</f>
        <v xml:space="preserve"> </v>
      </c>
      <c r="I206" s="37" t="str">
        <f t="shared" si="64"/>
        <v xml:space="preserve"> </v>
      </c>
      <c r="J206" s="37" t="str">
        <f>IFERROR(VLOOKUP(F206,'Product Spec'!B:D,3,FALSE)," ")</f>
        <v xml:space="preserve"> </v>
      </c>
      <c r="K206" s="43" t="str">
        <f t="shared" si="65"/>
        <v xml:space="preserve"> </v>
      </c>
      <c r="M206"/>
      <c r="N206"/>
      <c r="O206"/>
      <c r="P206" s="8">
        <f t="shared" si="66"/>
        <v>1</v>
      </c>
      <c r="Q206" s="8" t="e" cm="1">
        <f t="array" ref="Q206">_xlfn.IFS(D206=30,0.87,D206=45,0.7,D206=60,0.5)</f>
        <v>#N/A</v>
      </c>
      <c r="R206" s="8">
        <f t="shared" si="67"/>
        <v>0</v>
      </c>
    </row>
    <row r="207" spans="1:23" ht="15" customHeight="1" x14ac:dyDescent="0.25">
      <c r="A207" s="236"/>
      <c r="B207" s="20" t="s">
        <v>204</v>
      </c>
      <c r="C207" s="19"/>
      <c r="D207" s="17"/>
      <c r="E207" s="16"/>
      <c r="F207" s="18"/>
      <c r="G207" s="18"/>
      <c r="H207" s="37" t="str">
        <f>IFERROR(VLOOKUP(F207,'Product Spec'!B:D,2,FALSE)," ")</f>
        <v xml:space="preserve"> </v>
      </c>
      <c r="I207" s="37" t="str">
        <f t="shared" si="64"/>
        <v xml:space="preserve"> </v>
      </c>
      <c r="J207" s="37" t="str">
        <f>IFERROR(VLOOKUP(F207,'Product Spec'!B:D,3,FALSE)," ")</f>
        <v xml:space="preserve"> </v>
      </c>
      <c r="K207" s="43" t="str">
        <f t="shared" si="65"/>
        <v xml:space="preserve"> </v>
      </c>
      <c r="M207"/>
      <c r="N207"/>
      <c r="O207"/>
      <c r="P207" s="8">
        <f t="shared" si="66"/>
        <v>1</v>
      </c>
      <c r="Q207" s="8" t="e" cm="1">
        <f t="array" ref="Q207">_xlfn.IFS(D207=30,0.87,D207=45,0.7,D207=60,0.5)</f>
        <v>#N/A</v>
      </c>
      <c r="R207" s="8">
        <f t="shared" si="67"/>
        <v>0</v>
      </c>
    </row>
    <row r="208" spans="1:23" ht="15" customHeight="1" x14ac:dyDescent="0.25">
      <c r="A208" s="236"/>
      <c r="B208" s="98" t="s">
        <v>170</v>
      </c>
      <c r="C208" s="99"/>
      <c r="D208" s="99"/>
      <c r="E208" s="99"/>
      <c r="F208" s="99"/>
      <c r="G208" s="100"/>
      <c r="H208" s="179" cm="1">
        <f t="array" ref="H208">IF(D130&lt;7,0,SUM(IFERROR(I202:I207,0)))</f>
        <v>0</v>
      </c>
      <c r="I208" s="180"/>
      <c r="J208" s="179" cm="1">
        <f t="array" ref="J208">IF(D130&lt;7,0,SUM(IFERROR(K202:K207,0)))</f>
        <v>0</v>
      </c>
      <c r="K208" s="181"/>
      <c r="M208"/>
      <c r="N208"/>
      <c r="O208"/>
    </row>
    <row r="209" spans="1:23" ht="15" customHeight="1" x14ac:dyDescent="0.25">
      <c r="A209" s="44" t="s">
        <v>168</v>
      </c>
      <c r="B209" s="160"/>
      <c r="C209" s="161"/>
      <c r="D209" s="99" t="s">
        <v>166</v>
      </c>
      <c r="E209" s="99"/>
      <c r="F209" s="99"/>
      <c r="G209" s="100"/>
      <c r="H209" s="150" t="e">
        <f>MAX(100,(0.5*$D$125)/$D$130,V202)</f>
        <v>#N/A</v>
      </c>
      <c r="I209" s="151"/>
      <c r="J209" s="150">
        <f>MAX(100,(0.5*$I$125)/$D$130,V202)</f>
        <v>100</v>
      </c>
      <c r="K209" s="152"/>
      <c r="M209"/>
      <c r="N209"/>
      <c r="O209"/>
    </row>
    <row r="210" spans="1:23" ht="15" customHeight="1" x14ac:dyDescent="0.25">
      <c r="A210" s="153" t="e">
        <f>IF(OR(S202&lt;1,S203&lt;1),"Warning: Doesn’t meet the minimum BU's requirement per line."," ")</f>
        <v>#N/A</v>
      </c>
      <c r="B210" s="154"/>
      <c r="C210" s="154"/>
      <c r="D210" s="154"/>
      <c r="E210" s="154"/>
      <c r="F210" s="154"/>
      <c r="G210" s="154"/>
      <c r="H210" s="154"/>
      <c r="I210" s="154"/>
      <c r="J210" s="154"/>
      <c r="K210" s="155"/>
      <c r="M210"/>
      <c r="N210"/>
      <c r="O210"/>
      <c r="P210"/>
      <c r="Q210"/>
      <c r="R210"/>
      <c r="S210"/>
      <c r="T210"/>
      <c r="U210"/>
      <c r="V210"/>
      <c r="W210"/>
    </row>
    <row r="211" spans="1:23" ht="15" customHeight="1" x14ac:dyDescent="0.25">
      <c r="A211" s="156"/>
      <c r="B211" s="157"/>
      <c r="C211" s="157"/>
      <c r="D211" s="157"/>
      <c r="E211" s="157"/>
      <c r="F211" s="157"/>
      <c r="G211" s="157"/>
      <c r="H211" s="157"/>
      <c r="I211" s="157"/>
      <c r="J211" s="157"/>
      <c r="K211" s="158"/>
      <c r="M211"/>
      <c r="N211"/>
      <c r="O211"/>
      <c r="P211"/>
      <c r="Q211"/>
      <c r="R211"/>
      <c r="S211"/>
      <c r="T211"/>
      <c r="U211"/>
      <c r="V211"/>
    </row>
    <row r="212" spans="1:23" ht="15" customHeight="1" x14ac:dyDescent="0.25">
      <c r="A212" s="42" t="s">
        <v>83</v>
      </c>
      <c r="B212" s="33" t="s">
        <v>198</v>
      </c>
      <c r="C212" s="34" t="s">
        <v>86</v>
      </c>
      <c r="D212" s="33" t="s">
        <v>87</v>
      </c>
      <c r="E212" s="33" t="s">
        <v>111</v>
      </c>
      <c r="F212" s="33" t="s">
        <v>84</v>
      </c>
      <c r="G212" s="33" t="s">
        <v>85</v>
      </c>
      <c r="H212" s="24" t="s">
        <v>165</v>
      </c>
      <c r="I212" s="24" t="s">
        <v>169</v>
      </c>
      <c r="J212" s="24" t="s">
        <v>165</v>
      </c>
      <c r="K212" s="41" t="s">
        <v>169</v>
      </c>
      <c r="M212"/>
      <c r="N212"/>
      <c r="O212"/>
      <c r="V212" s="8" t="s">
        <v>164</v>
      </c>
    </row>
    <row r="213" spans="1:23" ht="15" customHeight="1" x14ac:dyDescent="0.25">
      <c r="A213" s="236" t="s">
        <v>192</v>
      </c>
      <c r="B213" s="20" t="s">
        <v>199</v>
      </c>
      <c r="C213" s="19"/>
      <c r="D213" s="17"/>
      <c r="E213" s="16"/>
      <c r="F213" s="18"/>
      <c r="G213" s="18"/>
      <c r="H213" s="37" t="str">
        <f>IFERROR(VLOOKUP(F213,'Product Spec'!B:D,2,FALSE)," ")</f>
        <v xml:space="preserve"> </v>
      </c>
      <c r="I213" s="37" t="str">
        <f>IFERROR(C213*H213*P213*MIN(1,2.4/E213)," ")</f>
        <v xml:space="preserve"> </v>
      </c>
      <c r="J213" s="37" t="str">
        <f>IFERROR(VLOOKUP(F213,'Product Spec'!B:D,3,FALSE)," ")</f>
        <v xml:space="preserve"> </v>
      </c>
      <c r="K213" s="43" t="str">
        <f>IFERROR(C213*J213*P213*MIN(1,2.4/E213)," ")</f>
        <v xml:space="preserve"> </v>
      </c>
      <c r="M213"/>
      <c r="N213"/>
      <c r="O213"/>
      <c r="P213" s="8">
        <f>IF(OR(D213=30,D213=45,D213=60),Q213,COS(R213))</f>
        <v>1</v>
      </c>
      <c r="Q213" s="8" t="e" cm="1">
        <f t="array" ref="Q213">_xlfn.IFS(D213=30,0.87,D213=45,0.7,D213=60,0.5)</f>
        <v>#N/A</v>
      </c>
      <c r="R213" s="8">
        <f>(PI()/180)*D213</f>
        <v>0</v>
      </c>
      <c r="S213" s="8" t="e">
        <f>H219/H220</f>
        <v>#N/A</v>
      </c>
      <c r="V213" s="8">
        <f xml:space="preserve"> C220*15</f>
        <v>0</v>
      </c>
    </row>
    <row r="214" spans="1:23" ht="15" customHeight="1" x14ac:dyDescent="0.25">
      <c r="A214" s="236"/>
      <c r="B214" s="20" t="s">
        <v>200</v>
      </c>
      <c r="C214" s="19"/>
      <c r="D214" s="17"/>
      <c r="E214" s="16"/>
      <c r="F214" s="18"/>
      <c r="G214" s="18"/>
      <c r="H214" s="37" t="str">
        <f>IFERROR(VLOOKUP(F214,'Product Spec'!B:D,2,FALSE)," ")</f>
        <v xml:space="preserve"> </v>
      </c>
      <c r="I214" s="37" t="str">
        <f t="shared" ref="I214:I218" si="68">IFERROR(C214*H214*P214*MIN(1,2.4/E214)," ")</f>
        <v xml:space="preserve"> </v>
      </c>
      <c r="J214" s="37" t="str">
        <f>IFERROR(VLOOKUP(F214,'Product Spec'!B:D,3,FALSE)," ")</f>
        <v xml:space="preserve"> </v>
      </c>
      <c r="K214" s="43" t="str">
        <f t="shared" ref="K214:K218" si="69">IFERROR(C214*J214*P214*MIN(1,2.4/E214)," ")</f>
        <v xml:space="preserve"> </v>
      </c>
      <c r="M214"/>
      <c r="N214"/>
      <c r="O214"/>
      <c r="P214" s="8">
        <f t="shared" ref="P214:P218" si="70">IF(OR(D214=30,D214=45,D214=60),Q214,COS(R214))</f>
        <v>1</v>
      </c>
      <c r="Q214" s="8" t="e" cm="1">
        <f t="array" ref="Q214">_xlfn.IFS(D214=30,0.87,D214=45,0.7,D214=60,0.5)</f>
        <v>#N/A</v>
      </c>
      <c r="R214" s="8">
        <f t="shared" ref="R214:R218" si="71">(PI()/180)*D214</f>
        <v>0</v>
      </c>
      <c r="S214" s="8">
        <f>J219/J220</f>
        <v>0</v>
      </c>
    </row>
    <row r="215" spans="1:23" ht="15" customHeight="1" x14ac:dyDescent="0.25">
      <c r="A215" s="236"/>
      <c r="B215" s="20" t="s">
        <v>201</v>
      </c>
      <c r="C215" s="19"/>
      <c r="D215" s="17"/>
      <c r="E215" s="16"/>
      <c r="F215" s="18"/>
      <c r="G215" s="18"/>
      <c r="H215" s="37" t="str">
        <f>IFERROR(VLOOKUP(F215,'Product Spec'!B:D,2,FALSE)," ")</f>
        <v xml:space="preserve"> </v>
      </c>
      <c r="I215" s="37" t="str">
        <f t="shared" si="68"/>
        <v xml:space="preserve"> </v>
      </c>
      <c r="J215" s="37" t="str">
        <f>IFERROR(VLOOKUP(F215,'Product Spec'!B:D,3,FALSE)," ")</f>
        <v xml:space="preserve"> </v>
      </c>
      <c r="K215" s="43" t="str">
        <f t="shared" si="69"/>
        <v xml:space="preserve"> </v>
      </c>
      <c r="M215"/>
      <c r="N215"/>
      <c r="O215"/>
      <c r="P215" s="8">
        <f t="shared" si="70"/>
        <v>1</v>
      </c>
      <c r="Q215" s="8" t="e" cm="1">
        <f t="array" ref="Q215">_xlfn.IFS(D215=30,0.87,D215=45,0.7,D215=60,0.5)</f>
        <v>#N/A</v>
      </c>
      <c r="R215" s="8">
        <f t="shared" si="71"/>
        <v>0</v>
      </c>
    </row>
    <row r="216" spans="1:23" ht="15" customHeight="1" x14ac:dyDescent="0.25">
      <c r="A216" s="236"/>
      <c r="B216" s="20" t="s">
        <v>202</v>
      </c>
      <c r="C216" s="19"/>
      <c r="D216" s="17"/>
      <c r="E216" s="16"/>
      <c r="F216" s="18"/>
      <c r="G216" s="18"/>
      <c r="H216" s="37" t="str">
        <f>IFERROR(VLOOKUP(F216,'Product Spec'!B:D,2,FALSE)," ")</f>
        <v xml:space="preserve"> </v>
      </c>
      <c r="I216" s="37" t="str">
        <f t="shared" si="68"/>
        <v xml:space="preserve"> </v>
      </c>
      <c r="J216" s="37" t="str">
        <f>IFERROR(VLOOKUP(F216,'Product Spec'!B:D,3,FALSE)," ")</f>
        <v xml:space="preserve"> </v>
      </c>
      <c r="K216" s="43" t="str">
        <f t="shared" si="69"/>
        <v xml:space="preserve"> </v>
      </c>
      <c r="M216"/>
      <c r="N216"/>
      <c r="O216"/>
      <c r="P216" s="8">
        <f t="shared" si="70"/>
        <v>1</v>
      </c>
      <c r="Q216" s="8" t="e" cm="1">
        <f t="array" ref="Q216">_xlfn.IFS(D216=30,0.87,D216=45,0.7,D216=60,0.5)</f>
        <v>#N/A</v>
      </c>
      <c r="R216" s="8">
        <f t="shared" si="71"/>
        <v>0</v>
      </c>
    </row>
    <row r="217" spans="1:23" ht="15" customHeight="1" x14ac:dyDescent="0.25">
      <c r="A217" s="236"/>
      <c r="B217" s="20" t="s">
        <v>203</v>
      </c>
      <c r="C217" s="19"/>
      <c r="D217" s="17"/>
      <c r="E217" s="16"/>
      <c r="F217" s="18"/>
      <c r="G217" s="18"/>
      <c r="H217" s="37" t="str">
        <f>IFERROR(VLOOKUP(F217,'Product Spec'!B:D,2,FALSE)," ")</f>
        <v xml:space="preserve"> </v>
      </c>
      <c r="I217" s="37" t="str">
        <f t="shared" si="68"/>
        <v xml:space="preserve"> </v>
      </c>
      <c r="J217" s="37" t="str">
        <f>IFERROR(VLOOKUP(F217,'Product Spec'!B:D,3,FALSE)," ")</f>
        <v xml:space="preserve"> </v>
      </c>
      <c r="K217" s="43" t="str">
        <f t="shared" si="69"/>
        <v xml:space="preserve"> </v>
      </c>
      <c r="M217"/>
      <c r="N217"/>
      <c r="O217"/>
      <c r="P217" s="8">
        <f t="shared" si="70"/>
        <v>1</v>
      </c>
      <c r="Q217" s="8" t="e" cm="1">
        <f t="array" ref="Q217">_xlfn.IFS(D217=30,0.87,D217=45,0.7,D217=60,0.5)</f>
        <v>#N/A</v>
      </c>
      <c r="R217" s="8">
        <f t="shared" si="71"/>
        <v>0</v>
      </c>
    </row>
    <row r="218" spans="1:23" ht="15" customHeight="1" x14ac:dyDescent="0.25">
      <c r="A218" s="236"/>
      <c r="B218" s="20" t="s">
        <v>204</v>
      </c>
      <c r="C218" s="19"/>
      <c r="D218" s="17"/>
      <c r="E218" s="16"/>
      <c r="F218" s="18"/>
      <c r="G218" s="18"/>
      <c r="H218" s="37" t="str">
        <f>IFERROR(VLOOKUP(F218,'Product Spec'!B:D,2,FALSE)," ")</f>
        <v xml:space="preserve"> </v>
      </c>
      <c r="I218" s="37" t="str">
        <f t="shared" si="68"/>
        <v xml:space="preserve"> </v>
      </c>
      <c r="J218" s="37" t="str">
        <f>IFERROR(VLOOKUP(F218,'Product Spec'!B:D,3,FALSE)," ")</f>
        <v xml:space="preserve"> </v>
      </c>
      <c r="K218" s="43" t="str">
        <f t="shared" si="69"/>
        <v xml:space="preserve"> </v>
      </c>
      <c r="M218"/>
      <c r="N218"/>
      <c r="O218"/>
      <c r="P218" s="8">
        <f t="shared" si="70"/>
        <v>1</v>
      </c>
      <c r="Q218" s="8" t="e" cm="1">
        <f t="array" ref="Q218">_xlfn.IFS(D218=30,0.87,D218=45,0.7,D218=60,0.5)</f>
        <v>#N/A</v>
      </c>
      <c r="R218" s="8">
        <f t="shared" si="71"/>
        <v>0</v>
      </c>
    </row>
    <row r="219" spans="1:23" ht="15" customHeight="1" x14ac:dyDescent="0.25">
      <c r="A219" s="236"/>
      <c r="B219" s="98" t="s">
        <v>170</v>
      </c>
      <c r="C219" s="99"/>
      <c r="D219" s="99"/>
      <c r="E219" s="99"/>
      <c r="F219" s="99"/>
      <c r="G219" s="100"/>
      <c r="H219" s="179" cm="1">
        <f t="array" ref="H219">IF(D130&lt;8,0,SUM(IFERROR(I213:I218,0)))</f>
        <v>0</v>
      </c>
      <c r="I219" s="180"/>
      <c r="J219" s="179" cm="1">
        <f t="array" ref="J219">IF(D130&lt;8,0,SUM(IFERROR(K213:K218,0)))</f>
        <v>0</v>
      </c>
      <c r="K219" s="181"/>
      <c r="M219"/>
      <c r="N219"/>
      <c r="O219"/>
    </row>
    <row r="220" spans="1:23" ht="15" customHeight="1" x14ac:dyDescent="0.25">
      <c r="A220" s="44" t="s">
        <v>168</v>
      </c>
      <c r="B220" s="160"/>
      <c r="C220" s="161"/>
      <c r="D220" s="99" t="s">
        <v>166</v>
      </c>
      <c r="E220" s="99"/>
      <c r="F220" s="99"/>
      <c r="G220" s="100"/>
      <c r="H220" s="150" t="e">
        <f>MAX(100,(0.5*$D$125)/$D$130,V213)</f>
        <v>#N/A</v>
      </c>
      <c r="I220" s="151"/>
      <c r="J220" s="150">
        <f>MAX(100,(0.5*$I$125)/$D$130,V213)</f>
        <v>100</v>
      </c>
      <c r="K220" s="152"/>
      <c r="M220"/>
      <c r="N220"/>
      <c r="O220"/>
    </row>
    <row r="221" spans="1:23" ht="15" customHeight="1" x14ac:dyDescent="0.25">
      <c r="A221" s="153" t="e">
        <f>IF(OR(S213&lt;1,S214&lt;1),"Warning: Doesn’t meet the minimum BU's requirement per line."," ")</f>
        <v>#N/A</v>
      </c>
      <c r="B221" s="154"/>
      <c r="C221" s="154"/>
      <c r="D221" s="154"/>
      <c r="E221" s="154"/>
      <c r="F221" s="154"/>
      <c r="G221" s="154"/>
      <c r="H221" s="154"/>
      <c r="I221" s="154"/>
      <c r="J221" s="154"/>
      <c r="K221" s="155"/>
      <c r="M221"/>
      <c r="N221"/>
      <c r="O221"/>
      <c r="P221"/>
      <c r="Q221"/>
      <c r="R221"/>
      <c r="S221"/>
      <c r="T221"/>
      <c r="U221"/>
      <c r="V221"/>
      <c r="W221"/>
    </row>
    <row r="222" spans="1:23" ht="15" customHeight="1" x14ac:dyDescent="0.25">
      <c r="A222" s="156"/>
      <c r="B222" s="157"/>
      <c r="C222" s="157"/>
      <c r="D222" s="157"/>
      <c r="E222" s="157"/>
      <c r="F222" s="157"/>
      <c r="G222" s="157"/>
      <c r="H222" s="157"/>
      <c r="I222" s="157"/>
      <c r="J222" s="157"/>
      <c r="K222" s="158"/>
      <c r="M222"/>
      <c r="N222"/>
      <c r="O222"/>
      <c r="P222"/>
      <c r="Q222"/>
      <c r="R222"/>
      <c r="S222"/>
      <c r="T222"/>
      <c r="U222"/>
      <c r="V222"/>
    </row>
    <row r="223" spans="1:23" ht="15" customHeight="1" x14ac:dyDescent="0.25">
      <c r="A223" s="42" t="s">
        <v>83</v>
      </c>
      <c r="B223" s="33" t="s">
        <v>198</v>
      </c>
      <c r="C223" s="34" t="s">
        <v>86</v>
      </c>
      <c r="D223" s="33" t="s">
        <v>87</v>
      </c>
      <c r="E223" s="33" t="s">
        <v>111</v>
      </c>
      <c r="F223" s="33" t="s">
        <v>84</v>
      </c>
      <c r="G223" s="33" t="s">
        <v>85</v>
      </c>
      <c r="H223" s="24" t="s">
        <v>165</v>
      </c>
      <c r="I223" s="24" t="s">
        <v>169</v>
      </c>
      <c r="J223" s="24" t="s">
        <v>165</v>
      </c>
      <c r="K223" s="41" t="s">
        <v>169</v>
      </c>
      <c r="M223"/>
      <c r="N223"/>
      <c r="O223"/>
      <c r="V223" s="8" t="s">
        <v>164</v>
      </c>
    </row>
    <row r="224" spans="1:23" ht="15" customHeight="1" x14ac:dyDescent="0.25">
      <c r="A224" s="236" t="s">
        <v>193</v>
      </c>
      <c r="B224" s="20" t="s">
        <v>199</v>
      </c>
      <c r="C224" s="19"/>
      <c r="D224" s="17"/>
      <c r="E224" s="16"/>
      <c r="F224" s="18"/>
      <c r="G224" s="18"/>
      <c r="H224" s="37" t="str">
        <f>IFERROR(VLOOKUP(F224,'Product Spec'!B:D,2,FALSE)," ")</f>
        <v xml:space="preserve"> </v>
      </c>
      <c r="I224" s="37" t="str">
        <f>IFERROR(C224*H224*P224*MIN(1,2.4/E224)," ")</f>
        <v xml:space="preserve"> </v>
      </c>
      <c r="J224" s="37" t="str">
        <f>IFERROR(VLOOKUP(F224,'Product Spec'!B:D,3,FALSE)," ")</f>
        <v xml:space="preserve"> </v>
      </c>
      <c r="K224" s="43" t="str">
        <f>IFERROR(C224*J224*P224*MIN(1,2.4/E224)," ")</f>
        <v xml:space="preserve"> </v>
      </c>
      <c r="M224"/>
      <c r="N224"/>
      <c r="O224"/>
      <c r="P224" s="8">
        <f>IF(OR(D224=30,D224=45,D224=60),Q224,COS(R224))</f>
        <v>1</v>
      </c>
      <c r="Q224" s="8" t="e" cm="1">
        <f t="array" ref="Q224">_xlfn.IFS(D224=30,0.87,D224=45,0.7,D224=60,0.5)</f>
        <v>#N/A</v>
      </c>
      <c r="R224" s="8">
        <f>(PI()/180)*D224</f>
        <v>0</v>
      </c>
      <c r="S224" s="8" t="e">
        <f>H230/H231</f>
        <v>#N/A</v>
      </c>
      <c r="V224" s="8">
        <f xml:space="preserve"> C231*15</f>
        <v>0</v>
      </c>
    </row>
    <row r="225" spans="1:23" ht="15" customHeight="1" x14ac:dyDescent="0.25">
      <c r="A225" s="236"/>
      <c r="B225" s="20" t="s">
        <v>200</v>
      </c>
      <c r="C225" s="19"/>
      <c r="D225" s="17"/>
      <c r="E225" s="16"/>
      <c r="F225" s="18"/>
      <c r="G225" s="18"/>
      <c r="H225" s="37" t="str">
        <f>IFERROR(VLOOKUP(F225,'Product Spec'!B:D,2,FALSE)," ")</f>
        <v xml:space="preserve"> </v>
      </c>
      <c r="I225" s="37" t="str">
        <f t="shared" ref="I225:I229" si="72">IFERROR(C225*H225*P225*MIN(1,2.4/E225)," ")</f>
        <v xml:space="preserve"> </v>
      </c>
      <c r="J225" s="37" t="str">
        <f>IFERROR(VLOOKUP(F225,'Product Spec'!B:D,3,FALSE)," ")</f>
        <v xml:space="preserve"> </v>
      </c>
      <c r="K225" s="43" t="str">
        <f t="shared" ref="K225:K229" si="73">IFERROR(C225*J225*P225*MIN(1,2.4/E225)," ")</f>
        <v xml:space="preserve"> </v>
      </c>
      <c r="M225"/>
      <c r="N225"/>
      <c r="O225"/>
      <c r="P225" s="8">
        <f t="shared" ref="P225:P229" si="74">IF(OR(D225=30,D225=45,D225=60),Q225,COS(R225))</f>
        <v>1</v>
      </c>
      <c r="Q225" s="8" t="e" cm="1">
        <f t="array" ref="Q225">_xlfn.IFS(D225=30,0.87,D225=45,0.7,D225=60,0.5)</f>
        <v>#N/A</v>
      </c>
      <c r="R225" s="8">
        <f t="shared" ref="R225:R229" si="75">(PI()/180)*D225</f>
        <v>0</v>
      </c>
      <c r="S225" s="8">
        <f>J230/J231</f>
        <v>0</v>
      </c>
    </row>
    <row r="226" spans="1:23" ht="15" customHeight="1" x14ac:dyDescent="0.25">
      <c r="A226" s="236"/>
      <c r="B226" s="20" t="s">
        <v>201</v>
      </c>
      <c r="C226" s="19"/>
      <c r="D226" s="17"/>
      <c r="E226" s="16"/>
      <c r="F226" s="18"/>
      <c r="G226" s="18"/>
      <c r="H226" s="37" t="str">
        <f>IFERROR(VLOOKUP(F226,'Product Spec'!B:D,2,FALSE)," ")</f>
        <v xml:space="preserve"> </v>
      </c>
      <c r="I226" s="37" t="str">
        <f t="shared" si="72"/>
        <v xml:space="preserve"> </v>
      </c>
      <c r="J226" s="37" t="str">
        <f>IFERROR(VLOOKUP(F226,'Product Spec'!B:D,3,FALSE)," ")</f>
        <v xml:space="preserve"> </v>
      </c>
      <c r="K226" s="43" t="str">
        <f t="shared" si="73"/>
        <v xml:space="preserve"> </v>
      </c>
      <c r="M226"/>
      <c r="N226"/>
      <c r="O226"/>
      <c r="P226" s="8">
        <f t="shared" si="74"/>
        <v>1</v>
      </c>
      <c r="Q226" s="8" t="e" cm="1">
        <f t="array" ref="Q226">_xlfn.IFS(D226=30,0.87,D226=45,0.7,D226=60,0.5)</f>
        <v>#N/A</v>
      </c>
      <c r="R226" s="8">
        <f t="shared" si="75"/>
        <v>0</v>
      </c>
    </row>
    <row r="227" spans="1:23" ht="15" customHeight="1" x14ac:dyDescent="0.25">
      <c r="A227" s="236"/>
      <c r="B227" s="20" t="s">
        <v>202</v>
      </c>
      <c r="C227" s="19"/>
      <c r="D227" s="17"/>
      <c r="E227" s="16"/>
      <c r="F227" s="18"/>
      <c r="G227" s="18"/>
      <c r="H227" s="37" t="str">
        <f>IFERROR(VLOOKUP(F227,'Product Spec'!B:D,2,FALSE)," ")</f>
        <v xml:space="preserve"> </v>
      </c>
      <c r="I227" s="37" t="str">
        <f t="shared" si="72"/>
        <v xml:space="preserve"> </v>
      </c>
      <c r="J227" s="37" t="str">
        <f>IFERROR(VLOOKUP(F227,'Product Spec'!B:D,3,FALSE)," ")</f>
        <v xml:space="preserve"> </v>
      </c>
      <c r="K227" s="43" t="str">
        <f t="shared" si="73"/>
        <v xml:space="preserve"> </v>
      </c>
      <c r="M227"/>
      <c r="N227"/>
      <c r="O227"/>
      <c r="P227" s="8">
        <f t="shared" si="74"/>
        <v>1</v>
      </c>
      <c r="Q227" s="8" t="e" cm="1">
        <f t="array" ref="Q227">_xlfn.IFS(D227=30,0.87,D227=45,0.7,D227=60,0.5)</f>
        <v>#N/A</v>
      </c>
      <c r="R227" s="8">
        <f t="shared" si="75"/>
        <v>0</v>
      </c>
    </row>
    <row r="228" spans="1:23" ht="15" customHeight="1" x14ac:dyDescent="0.25">
      <c r="A228" s="236"/>
      <c r="B228" s="20" t="s">
        <v>203</v>
      </c>
      <c r="C228" s="19"/>
      <c r="D228" s="17"/>
      <c r="E228" s="16"/>
      <c r="F228" s="18"/>
      <c r="G228" s="18"/>
      <c r="H228" s="37" t="str">
        <f>IFERROR(VLOOKUP(F228,'Product Spec'!B:D,2,FALSE)," ")</f>
        <v xml:space="preserve"> </v>
      </c>
      <c r="I228" s="37" t="str">
        <f t="shared" si="72"/>
        <v xml:space="preserve"> </v>
      </c>
      <c r="J228" s="37" t="str">
        <f>IFERROR(VLOOKUP(F228,'Product Spec'!B:D,3,FALSE)," ")</f>
        <v xml:space="preserve"> </v>
      </c>
      <c r="K228" s="43" t="str">
        <f t="shared" si="73"/>
        <v xml:space="preserve"> </v>
      </c>
      <c r="M228"/>
      <c r="N228"/>
      <c r="O228"/>
      <c r="P228" s="8">
        <f t="shared" si="74"/>
        <v>1</v>
      </c>
      <c r="Q228" s="8" t="e" cm="1">
        <f t="array" ref="Q228">_xlfn.IFS(D228=30,0.87,D228=45,0.7,D228=60,0.5)</f>
        <v>#N/A</v>
      </c>
      <c r="R228" s="8">
        <f t="shared" si="75"/>
        <v>0</v>
      </c>
    </row>
    <row r="229" spans="1:23" ht="15" customHeight="1" x14ac:dyDescent="0.25">
      <c r="A229" s="236"/>
      <c r="B229" s="20" t="s">
        <v>204</v>
      </c>
      <c r="C229" s="19"/>
      <c r="D229" s="17"/>
      <c r="E229" s="16"/>
      <c r="F229" s="18"/>
      <c r="G229" s="18"/>
      <c r="H229" s="37" t="str">
        <f>IFERROR(VLOOKUP(F229,'Product Spec'!B:D,2,FALSE)," ")</f>
        <v xml:space="preserve"> </v>
      </c>
      <c r="I229" s="37" t="str">
        <f t="shared" si="72"/>
        <v xml:space="preserve"> </v>
      </c>
      <c r="J229" s="37" t="str">
        <f>IFERROR(VLOOKUP(F229,'Product Spec'!B:D,3,FALSE)," ")</f>
        <v xml:space="preserve"> </v>
      </c>
      <c r="K229" s="43" t="str">
        <f t="shared" si="73"/>
        <v xml:space="preserve"> </v>
      </c>
      <c r="M229"/>
      <c r="N229"/>
      <c r="O229"/>
      <c r="P229" s="8">
        <f t="shared" si="74"/>
        <v>1</v>
      </c>
      <c r="Q229" s="8" t="e" cm="1">
        <f t="array" ref="Q229">_xlfn.IFS(D229=30,0.87,D229=45,0.7,D229=60,0.5)</f>
        <v>#N/A</v>
      </c>
      <c r="R229" s="8">
        <f t="shared" si="75"/>
        <v>0</v>
      </c>
    </row>
    <row r="230" spans="1:23" ht="15" customHeight="1" x14ac:dyDescent="0.25">
      <c r="A230" s="236"/>
      <c r="B230" s="98" t="s">
        <v>170</v>
      </c>
      <c r="C230" s="99"/>
      <c r="D230" s="99"/>
      <c r="E230" s="99"/>
      <c r="F230" s="99"/>
      <c r="G230" s="100"/>
      <c r="H230" s="179" cm="1">
        <f t="array" ref="H230">IF(D130&lt;9,0,SUM(IFERROR(I224:I229,0)))</f>
        <v>0</v>
      </c>
      <c r="I230" s="180"/>
      <c r="J230" s="179" cm="1">
        <f t="array" ref="J230">IF(D130&lt;9,0,SUM(IFERROR(K224:K229,0)))</f>
        <v>0</v>
      </c>
      <c r="K230" s="181"/>
      <c r="M230"/>
      <c r="N230"/>
      <c r="O230"/>
    </row>
    <row r="231" spans="1:23" ht="15" customHeight="1" x14ac:dyDescent="0.25">
      <c r="A231" s="44" t="s">
        <v>168</v>
      </c>
      <c r="B231" s="160"/>
      <c r="C231" s="161"/>
      <c r="D231" s="99" t="s">
        <v>166</v>
      </c>
      <c r="E231" s="99"/>
      <c r="F231" s="99"/>
      <c r="G231" s="100"/>
      <c r="H231" s="150" t="e">
        <f>MAX(100,(0.5*$D$125)/$D$130,V224)</f>
        <v>#N/A</v>
      </c>
      <c r="I231" s="151"/>
      <c r="J231" s="150">
        <f>MAX(100,(0.5*$I$125)/$D$130,V224)</f>
        <v>100</v>
      </c>
      <c r="K231" s="152"/>
    </row>
    <row r="232" spans="1:23" ht="15" customHeight="1" x14ac:dyDescent="0.25">
      <c r="A232" s="153" t="e">
        <f>IF(OR(S224&lt;1,S225&lt;1),"Warning: Doesn’t meet the minimum BU's requirement per line."," ")</f>
        <v>#N/A</v>
      </c>
      <c r="B232" s="154"/>
      <c r="C232" s="154"/>
      <c r="D232" s="154"/>
      <c r="E232" s="154"/>
      <c r="F232" s="154"/>
      <c r="G232" s="154"/>
      <c r="H232" s="154"/>
      <c r="I232" s="154"/>
      <c r="J232" s="154"/>
      <c r="K232" s="155"/>
      <c r="P232"/>
      <c r="Q232"/>
      <c r="R232"/>
      <c r="S232"/>
      <c r="T232"/>
      <c r="U232"/>
      <c r="V232"/>
      <c r="W232"/>
    </row>
    <row r="233" spans="1:23" ht="15" customHeight="1" x14ac:dyDescent="0.25">
      <c r="A233" s="156"/>
      <c r="B233" s="157"/>
      <c r="C233" s="157"/>
      <c r="D233" s="157"/>
      <c r="E233" s="157"/>
      <c r="F233" s="157"/>
      <c r="G233" s="157"/>
      <c r="H233" s="157"/>
      <c r="I233" s="157"/>
      <c r="J233" s="157"/>
      <c r="K233" s="158"/>
      <c r="P233"/>
      <c r="Q233"/>
      <c r="R233"/>
      <c r="S233"/>
      <c r="T233"/>
      <c r="U233"/>
      <c r="V233"/>
    </row>
    <row r="234" spans="1:23" ht="15" customHeight="1" x14ac:dyDescent="0.25">
      <c r="A234" s="42" t="s">
        <v>83</v>
      </c>
      <c r="B234" s="33" t="s">
        <v>198</v>
      </c>
      <c r="C234" s="34" t="s">
        <v>86</v>
      </c>
      <c r="D234" s="33" t="s">
        <v>87</v>
      </c>
      <c r="E234" s="33" t="s">
        <v>111</v>
      </c>
      <c r="F234" s="33" t="s">
        <v>84</v>
      </c>
      <c r="G234" s="33" t="s">
        <v>85</v>
      </c>
      <c r="H234" s="24" t="s">
        <v>165</v>
      </c>
      <c r="I234" s="24" t="s">
        <v>169</v>
      </c>
      <c r="J234" s="24" t="s">
        <v>165</v>
      </c>
      <c r="K234" s="41" t="s">
        <v>169</v>
      </c>
      <c r="V234" s="8" t="s">
        <v>164</v>
      </c>
    </row>
    <row r="235" spans="1:23" ht="15" customHeight="1" x14ac:dyDescent="0.25">
      <c r="A235" s="236" t="s">
        <v>194</v>
      </c>
      <c r="B235" s="20" t="s">
        <v>199</v>
      </c>
      <c r="C235" s="19"/>
      <c r="D235" s="17"/>
      <c r="E235" s="16"/>
      <c r="F235" s="18"/>
      <c r="G235" s="18"/>
      <c r="H235" s="37" t="str">
        <f>IFERROR(VLOOKUP(F235,'Product Spec'!B:D,2,FALSE)," ")</f>
        <v xml:space="preserve"> </v>
      </c>
      <c r="I235" s="37" t="str">
        <f>IFERROR(C235*H235*P235*MIN(1,2.4/E235)," ")</f>
        <v xml:space="preserve"> </v>
      </c>
      <c r="J235" s="37" t="str">
        <f>IFERROR(VLOOKUP(F235,'Product Spec'!B:D,3,FALSE)," ")</f>
        <v xml:space="preserve"> </v>
      </c>
      <c r="K235" s="43" t="str">
        <f>IFERROR(C235*J235*P235*MIN(1,2.4/E235)," ")</f>
        <v xml:space="preserve"> </v>
      </c>
      <c r="P235" s="8">
        <f>IF(OR(D235=30,D235=45,D235=60),Q235,COS(R235))</f>
        <v>1</v>
      </c>
      <c r="Q235" s="8" t="e" cm="1">
        <f t="array" ref="Q235">_xlfn.IFS(D235=30,0.87,D235=45,0.7,D235=60,0.5)</f>
        <v>#N/A</v>
      </c>
      <c r="R235" s="8">
        <f>(PI()/180)*D235</f>
        <v>0</v>
      </c>
      <c r="S235" s="8" t="e">
        <f>H241/H242</f>
        <v>#N/A</v>
      </c>
      <c r="V235" s="8">
        <f xml:space="preserve"> C242*15</f>
        <v>0</v>
      </c>
    </row>
    <row r="236" spans="1:23" ht="15" customHeight="1" x14ac:dyDescent="0.25">
      <c r="A236" s="236"/>
      <c r="B236" s="20" t="s">
        <v>200</v>
      </c>
      <c r="C236" s="19"/>
      <c r="D236" s="17"/>
      <c r="E236" s="16"/>
      <c r="F236" s="18"/>
      <c r="G236" s="18"/>
      <c r="H236" s="37" t="str">
        <f>IFERROR(VLOOKUP(F236,'Product Spec'!B:D,2,FALSE)," ")</f>
        <v xml:space="preserve"> </v>
      </c>
      <c r="I236" s="37" t="str">
        <f t="shared" ref="I236:I240" si="76">IFERROR(C236*H236*P236*MIN(1,2.4/E236)," ")</f>
        <v xml:space="preserve"> </v>
      </c>
      <c r="J236" s="37" t="str">
        <f>IFERROR(VLOOKUP(F236,'Product Spec'!B:D,3,FALSE)," ")</f>
        <v xml:space="preserve"> </v>
      </c>
      <c r="K236" s="43" t="str">
        <f t="shared" ref="K236:K240" si="77">IFERROR(C236*J236*P236*MIN(1,2.4/E236)," ")</f>
        <v xml:space="preserve"> </v>
      </c>
      <c r="P236" s="8">
        <f t="shared" ref="P236:P240" si="78">IF(OR(D236=30,D236=45,D236=60),Q236,COS(R236))</f>
        <v>1</v>
      </c>
      <c r="Q236" s="8" t="e" cm="1">
        <f t="array" ref="Q236">_xlfn.IFS(D236=30,0.87,D236=45,0.7,D236=60,0.5)</f>
        <v>#N/A</v>
      </c>
      <c r="R236" s="8">
        <f t="shared" ref="R236:R240" si="79">(PI()/180)*D236</f>
        <v>0</v>
      </c>
      <c r="S236" s="8">
        <f>J241/J242</f>
        <v>0</v>
      </c>
    </row>
    <row r="237" spans="1:23" ht="15" customHeight="1" x14ac:dyDescent="0.25">
      <c r="A237" s="236"/>
      <c r="B237" s="20" t="s">
        <v>201</v>
      </c>
      <c r="C237" s="19"/>
      <c r="D237" s="17"/>
      <c r="E237" s="16"/>
      <c r="F237" s="18"/>
      <c r="G237" s="18"/>
      <c r="H237" s="37" t="str">
        <f>IFERROR(VLOOKUP(F237,'Product Spec'!B:D,2,FALSE)," ")</f>
        <v xml:space="preserve"> </v>
      </c>
      <c r="I237" s="37" t="str">
        <f t="shared" si="76"/>
        <v xml:space="preserve"> </v>
      </c>
      <c r="J237" s="37" t="str">
        <f>IFERROR(VLOOKUP(F237,'Product Spec'!B:D,3,FALSE)," ")</f>
        <v xml:space="preserve"> </v>
      </c>
      <c r="K237" s="43" t="str">
        <f t="shared" si="77"/>
        <v xml:space="preserve"> </v>
      </c>
      <c r="P237" s="8">
        <f t="shared" si="78"/>
        <v>1</v>
      </c>
      <c r="Q237" s="8" t="e" cm="1">
        <f t="array" ref="Q237">_xlfn.IFS(D237=30,0.87,D237=45,0.7,D237=60,0.5)</f>
        <v>#N/A</v>
      </c>
      <c r="R237" s="8">
        <f t="shared" si="79"/>
        <v>0</v>
      </c>
    </row>
    <row r="238" spans="1:23" ht="15" customHeight="1" x14ac:dyDescent="0.25">
      <c r="A238" s="236"/>
      <c r="B238" s="20" t="s">
        <v>202</v>
      </c>
      <c r="C238" s="19"/>
      <c r="D238" s="17"/>
      <c r="E238" s="16"/>
      <c r="F238" s="18"/>
      <c r="G238" s="18"/>
      <c r="H238" s="37" t="str">
        <f>IFERROR(VLOOKUP(F238,'Product Spec'!B:D,2,FALSE)," ")</f>
        <v xml:space="preserve"> </v>
      </c>
      <c r="I238" s="37" t="str">
        <f t="shared" si="76"/>
        <v xml:space="preserve"> </v>
      </c>
      <c r="J238" s="37" t="str">
        <f>IFERROR(VLOOKUP(F238,'Product Spec'!B:D,3,FALSE)," ")</f>
        <v xml:space="preserve"> </v>
      </c>
      <c r="K238" s="43" t="str">
        <f t="shared" si="77"/>
        <v xml:space="preserve"> </v>
      </c>
      <c r="P238" s="8">
        <f t="shared" si="78"/>
        <v>1</v>
      </c>
      <c r="Q238" s="8" t="e" cm="1">
        <f t="array" ref="Q238">_xlfn.IFS(D238=30,0.87,D238=45,0.7,D238=60,0.5)</f>
        <v>#N/A</v>
      </c>
      <c r="R238" s="8">
        <f t="shared" si="79"/>
        <v>0</v>
      </c>
    </row>
    <row r="239" spans="1:23" ht="15" customHeight="1" x14ac:dyDescent="0.25">
      <c r="A239" s="236"/>
      <c r="B239" s="20" t="s">
        <v>203</v>
      </c>
      <c r="C239" s="19"/>
      <c r="D239" s="17"/>
      <c r="E239" s="16"/>
      <c r="F239" s="18"/>
      <c r="G239" s="18"/>
      <c r="H239" s="37" t="str">
        <f>IFERROR(VLOOKUP(F239,'Product Spec'!B:D,2,FALSE)," ")</f>
        <v xml:space="preserve"> </v>
      </c>
      <c r="I239" s="37" t="str">
        <f t="shared" si="76"/>
        <v xml:space="preserve"> </v>
      </c>
      <c r="J239" s="37" t="str">
        <f>IFERROR(VLOOKUP(F239,'Product Spec'!B:D,3,FALSE)," ")</f>
        <v xml:space="preserve"> </v>
      </c>
      <c r="K239" s="43" t="str">
        <f t="shared" si="77"/>
        <v xml:space="preserve"> </v>
      </c>
      <c r="P239" s="8">
        <f t="shared" si="78"/>
        <v>1</v>
      </c>
      <c r="Q239" s="8" t="e" cm="1">
        <f t="array" ref="Q239">_xlfn.IFS(D239=30,0.87,D239=45,0.7,D239=60,0.5)</f>
        <v>#N/A</v>
      </c>
      <c r="R239" s="8">
        <f t="shared" si="79"/>
        <v>0</v>
      </c>
    </row>
    <row r="240" spans="1:23" ht="15" customHeight="1" x14ac:dyDescent="0.25">
      <c r="A240" s="236"/>
      <c r="B240" s="20" t="s">
        <v>204</v>
      </c>
      <c r="C240" s="19"/>
      <c r="D240" s="17"/>
      <c r="E240" s="16"/>
      <c r="F240" s="18"/>
      <c r="G240" s="18"/>
      <c r="H240" s="37" t="str">
        <f>IFERROR(VLOOKUP(F240,'Product Spec'!B:D,2,FALSE)," ")</f>
        <v xml:space="preserve"> </v>
      </c>
      <c r="I240" s="37" t="str">
        <f t="shared" si="76"/>
        <v xml:space="preserve"> </v>
      </c>
      <c r="J240" s="37" t="str">
        <f>IFERROR(VLOOKUP(F240,'Product Spec'!B:D,3,FALSE)," ")</f>
        <v xml:space="preserve"> </v>
      </c>
      <c r="K240" s="43" t="str">
        <f t="shared" si="77"/>
        <v xml:space="preserve"> </v>
      </c>
      <c r="P240" s="8">
        <f t="shared" si="78"/>
        <v>1</v>
      </c>
      <c r="Q240" s="8" t="e" cm="1">
        <f t="array" ref="Q240">_xlfn.IFS(D240=30,0.87,D240=45,0.7,D240=60,0.5)</f>
        <v>#N/A</v>
      </c>
      <c r="R240" s="8">
        <f t="shared" si="79"/>
        <v>0</v>
      </c>
    </row>
    <row r="241" spans="1:11" ht="15" customHeight="1" x14ac:dyDescent="0.25">
      <c r="A241" s="236"/>
      <c r="B241" s="98" t="s">
        <v>170</v>
      </c>
      <c r="C241" s="99"/>
      <c r="D241" s="99"/>
      <c r="E241" s="99"/>
      <c r="F241" s="99"/>
      <c r="G241" s="100"/>
      <c r="H241" s="179" cm="1">
        <f t="array" ref="H241">IF(D130&lt;10,0,SUM(IFERROR(I235:I240,0)))</f>
        <v>0</v>
      </c>
      <c r="I241" s="180"/>
      <c r="J241" s="179" cm="1">
        <f t="array" ref="J241">IF(D130&lt;10,0,SUM(IFERROR(K235:K240,0)))</f>
        <v>0</v>
      </c>
      <c r="K241" s="181"/>
    </row>
    <row r="242" spans="1:11" ht="15" customHeight="1" x14ac:dyDescent="0.25">
      <c r="A242" s="44" t="s">
        <v>168</v>
      </c>
      <c r="B242" s="160"/>
      <c r="C242" s="161"/>
      <c r="D242" s="99" t="s">
        <v>166</v>
      </c>
      <c r="E242" s="99"/>
      <c r="F242" s="99"/>
      <c r="G242" s="100"/>
      <c r="H242" s="150" t="e">
        <f>MAX(100,(0.5*$D$125)/$D$130,V235)</f>
        <v>#N/A</v>
      </c>
      <c r="I242" s="151"/>
      <c r="J242" s="150">
        <f>MAX(100,(0.5*$I$125)/$D$130,V235)</f>
        <v>100</v>
      </c>
      <c r="K242" s="152"/>
    </row>
    <row r="243" spans="1:11" ht="15" customHeight="1" x14ac:dyDescent="0.25">
      <c r="A243" s="153" t="e">
        <f>IF(OR(S235&lt;1,S236&lt;1),"Warning: Doesn’t meet the minimum BU's requirement per line."," ")</f>
        <v>#N/A</v>
      </c>
      <c r="B243" s="154"/>
      <c r="C243" s="154"/>
      <c r="D243" s="154"/>
      <c r="E243" s="154"/>
      <c r="F243" s="154"/>
      <c r="G243" s="154"/>
      <c r="H243" s="154"/>
      <c r="I243" s="154"/>
      <c r="J243" s="154"/>
      <c r="K243" s="155"/>
    </row>
    <row r="244" spans="1:11" ht="15" customHeight="1" thickBot="1" x14ac:dyDescent="0.3">
      <c r="A244" s="162"/>
      <c r="B244" s="163"/>
      <c r="C244" s="163"/>
      <c r="D244" s="163"/>
      <c r="E244" s="163"/>
      <c r="F244" s="163"/>
      <c r="G244" s="163"/>
      <c r="H244" s="163"/>
      <c r="I244" s="163"/>
      <c r="J244" s="163"/>
      <c r="K244" s="164"/>
    </row>
  </sheetData>
  <sheetProtection algorithmName="SHA-512" hashValue="7OR+7vq9Eq4JwWDKL8EZA6mVz/Y3uII28qdovBXzRsD0Oy3OJreexsfhqSCbBE3U6HaFz8akg6klhzNt/w6cmA==" saltValue="3u9oPSavae/s3H1n0nRdMw==" spinCount="100000" sheet="1" objects="1" scenarios="1"/>
  <protectedRanges>
    <protectedRange sqref="D130 C136:G141 B143 C147:G152 B154 C158:G163 B165 C169:G174 B176 C180:G185 B187 C191:G196 B198 C202:G207 B209 C213:G218 B220 C224:G229 B231 C235:G240 B242" name="Range2"/>
    <protectedRange sqref="D8 C14:G19 B21 C25:G30 B32 C36:G41 B43 C47:G52 B54 C58:G63 B65 C69:G74 B76 C80:G85 B87 C91:G96 B98 C102:G107 B109 C113:G118 B120" name="Range1"/>
  </protectedRanges>
  <dataConsolidate/>
  <mergeCells count="248">
    <mergeCell ref="A4:C4"/>
    <mergeCell ref="D4:E4"/>
    <mergeCell ref="G4:H4"/>
    <mergeCell ref="I4:J4"/>
    <mergeCell ref="A5:C5"/>
    <mergeCell ref="D5:E5"/>
    <mergeCell ref="G5:H5"/>
    <mergeCell ref="I5:J5"/>
    <mergeCell ref="A1:K1"/>
    <mergeCell ref="A2:F2"/>
    <mergeCell ref="G2:K2"/>
    <mergeCell ref="A3:C3"/>
    <mergeCell ref="G3:H3"/>
    <mergeCell ref="I3:J3"/>
    <mergeCell ref="D3:E3"/>
    <mergeCell ref="A12:G12"/>
    <mergeCell ref="H12:I12"/>
    <mergeCell ref="J12:K12"/>
    <mergeCell ref="A14:A20"/>
    <mergeCell ref="H20:I20"/>
    <mergeCell ref="J20:K20"/>
    <mergeCell ref="A6:F7"/>
    <mergeCell ref="G6:K7"/>
    <mergeCell ref="A8:C10"/>
    <mergeCell ref="D8:D10"/>
    <mergeCell ref="E8:K10"/>
    <mergeCell ref="A11:K11"/>
    <mergeCell ref="B20:G20"/>
    <mergeCell ref="D21:G21"/>
    <mergeCell ref="H21:I21"/>
    <mergeCell ref="J21:K21"/>
    <mergeCell ref="A22:K22"/>
    <mergeCell ref="A23:K23"/>
    <mergeCell ref="A25:A31"/>
    <mergeCell ref="H31:I31"/>
    <mergeCell ref="J31:K31"/>
    <mergeCell ref="B21:C21"/>
    <mergeCell ref="B31:G31"/>
    <mergeCell ref="D32:G32"/>
    <mergeCell ref="H32:I32"/>
    <mergeCell ref="J32:K32"/>
    <mergeCell ref="A33:K33"/>
    <mergeCell ref="A34:K34"/>
    <mergeCell ref="A36:A42"/>
    <mergeCell ref="H42:I42"/>
    <mergeCell ref="J42:K42"/>
    <mergeCell ref="B32:C32"/>
    <mergeCell ref="B42:G42"/>
    <mergeCell ref="D43:G43"/>
    <mergeCell ref="H43:I43"/>
    <mergeCell ref="J43:K43"/>
    <mergeCell ref="A44:K44"/>
    <mergeCell ref="A45:K45"/>
    <mergeCell ref="A47:A53"/>
    <mergeCell ref="H53:I53"/>
    <mergeCell ref="J53:K53"/>
    <mergeCell ref="B43:C43"/>
    <mergeCell ref="B53:G53"/>
    <mergeCell ref="D54:G54"/>
    <mergeCell ref="H54:I54"/>
    <mergeCell ref="J54:K54"/>
    <mergeCell ref="A55:K55"/>
    <mergeCell ref="A56:K56"/>
    <mergeCell ref="A58:A64"/>
    <mergeCell ref="H64:I64"/>
    <mergeCell ref="J64:K64"/>
    <mergeCell ref="B54:C54"/>
    <mergeCell ref="B64:G64"/>
    <mergeCell ref="D65:G65"/>
    <mergeCell ref="H65:I65"/>
    <mergeCell ref="J65:K65"/>
    <mergeCell ref="A66:K66"/>
    <mergeCell ref="A67:K67"/>
    <mergeCell ref="A69:A75"/>
    <mergeCell ref="H75:I75"/>
    <mergeCell ref="J75:K75"/>
    <mergeCell ref="B65:C65"/>
    <mergeCell ref="B75:G75"/>
    <mergeCell ref="D76:G76"/>
    <mergeCell ref="H76:I76"/>
    <mergeCell ref="J76:K76"/>
    <mergeCell ref="A77:K77"/>
    <mergeCell ref="A78:K78"/>
    <mergeCell ref="A80:A86"/>
    <mergeCell ref="H86:I86"/>
    <mergeCell ref="J86:K86"/>
    <mergeCell ref="B76:C76"/>
    <mergeCell ref="B86:G86"/>
    <mergeCell ref="A100:K100"/>
    <mergeCell ref="A102:A108"/>
    <mergeCell ref="H108:I108"/>
    <mergeCell ref="J108:K108"/>
    <mergeCell ref="B98:C98"/>
    <mergeCell ref="B108:G108"/>
    <mergeCell ref="D87:G87"/>
    <mergeCell ref="H87:I87"/>
    <mergeCell ref="J87:K87"/>
    <mergeCell ref="A88:K88"/>
    <mergeCell ref="A89:K89"/>
    <mergeCell ref="A91:A97"/>
    <mergeCell ref="H97:I97"/>
    <mergeCell ref="J97:K97"/>
    <mergeCell ref="B87:C87"/>
    <mergeCell ref="B97:G97"/>
    <mergeCell ref="D98:G98"/>
    <mergeCell ref="H98:I98"/>
    <mergeCell ref="J98:K98"/>
    <mergeCell ref="A99:K99"/>
    <mergeCell ref="D120:G120"/>
    <mergeCell ref="H120:I120"/>
    <mergeCell ref="J120:K120"/>
    <mergeCell ref="A121:K121"/>
    <mergeCell ref="A122:K122"/>
    <mergeCell ref="A123:K123"/>
    <mergeCell ref="D109:G109"/>
    <mergeCell ref="H109:I109"/>
    <mergeCell ref="J109:K109"/>
    <mergeCell ref="A110:K110"/>
    <mergeCell ref="A111:K111"/>
    <mergeCell ref="A113:A119"/>
    <mergeCell ref="H119:I119"/>
    <mergeCell ref="J119:K119"/>
    <mergeCell ref="B109:C109"/>
    <mergeCell ref="B119:G119"/>
    <mergeCell ref="B120:C120"/>
    <mergeCell ref="A126:C126"/>
    <mergeCell ref="D126:E126"/>
    <mergeCell ref="G126:H126"/>
    <mergeCell ref="I126:J126"/>
    <mergeCell ref="A127:C127"/>
    <mergeCell ref="D127:E127"/>
    <mergeCell ref="G127:H127"/>
    <mergeCell ref="I127:J127"/>
    <mergeCell ref="A124:F124"/>
    <mergeCell ref="G124:K124"/>
    <mergeCell ref="A125:C125"/>
    <mergeCell ref="D125:E125"/>
    <mergeCell ref="G125:H125"/>
    <mergeCell ref="I125:J125"/>
    <mergeCell ref="A134:G134"/>
    <mergeCell ref="H134:I134"/>
    <mergeCell ref="J134:K134"/>
    <mergeCell ref="A136:A142"/>
    <mergeCell ref="H142:I142"/>
    <mergeCell ref="J142:K142"/>
    <mergeCell ref="A128:F129"/>
    <mergeCell ref="G128:K129"/>
    <mergeCell ref="A130:C132"/>
    <mergeCell ref="D130:D132"/>
    <mergeCell ref="E130:K132"/>
    <mergeCell ref="A133:K133"/>
    <mergeCell ref="B142:G142"/>
    <mergeCell ref="D143:G143"/>
    <mergeCell ref="H143:I143"/>
    <mergeCell ref="J143:K143"/>
    <mergeCell ref="A144:K144"/>
    <mergeCell ref="A145:K145"/>
    <mergeCell ref="A147:A153"/>
    <mergeCell ref="H153:I153"/>
    <mergeCell ref="J153:K153"/>
    <mergeCell ref="B143:C143"/>
    <mergeCell ref="B153:G153"/>
    <mergeCell ref="D154:G154"/>
    <mergeCell ref="H154:I154"/>
    <mergeCell ref="J154:K154"/>
    <mergeCell ref="A155:K155"/>
    <mergeCell ref="A156:K156"/>
    <mergeCell ref="A158:A164"/>
    <mergeCell ref="H164:I164"/>
    <mergeCell ref="J164:K164"/>
    <mergeCell ref="B154:C154"/>
    <mergeCell ref="B164:G164"/>
    <mergeCell ref="D165:G165"/>
    <mergeCell ref="H165:I165"/>
    <mergeCell ref="J165:K165"/>
    <mergeCell ref="A166:K166"/>
    <mergeCell ref="A167:K167"/>
    <mergeCell ref="A169:A175"/>
    <mergeCell ref="H175:I175"/>
    <mergeCell ref="J175:K175"/>
    <mergeCell ref="B165:C165"/>
    <mergeCell ref="B175:G175"/>
    <mergeCell ref="D176:G176"/>
    <mergeCell ref="H176:I176"/>
    <mergeCell ref="J176:K176"/>
    <mergeCell ref="A177:K177"/>
    <mergeCell ref="A178:K178"/>
    <mergeCell ref="A180:A186"/>
    <mergeCell ref="H186:I186"/>
    <mergeCell ref="J186:K186"/>
    <mergeCell ref="B176:C176"/>
    <mergeCell ref="B186:G186"/>
    <mergeCell ref="D187:G187"/>
    <mergeCell ref="H187:I187"/>
    <mergeCell ref="J187:K187"/>
    <mergeCell ref="A188:K188"/>
    <mergeCell ref="A189:K189"/>
    <mergeCell ref="A191:A197"/>
    <mergeCell ref="H197:I197"/>
    <mergeCell ref="J197:K197"/>
    <mergeCell ref="B187:C187"/>
    <mergeCell ref="B197:G197"/>
    <mergeCell ref="D198:G198"/>
    <mergeCell ref="H198:I198"/>
    <mergeCell ref="J198:K198"/>
    <mergeCell ref="A199:K199"/>
    <mergeCell ref="A200:K200"/>
    <mergeCell ref="A202:A208"/>
    <mergeCell ref="H208:I208"/>
    <mergeCell ref="J208:K208"/>
    <mergeCell ref="B198:C198"/>
    <mergeCell ref="B208:G208"/>
    <mergeCell ref="D209:G209"/>
    <mergeCell ref="H209:I209"/>
    <mergeCell ref="J209:K209"/>
    <mergeCell ref="A210:K210"/>
    <mergeCell ref="A211:K211"/>
    <mergeCell ref="A213:A219"/>
    <mergeCell ref="H219:I219"/>
    <mergeCell ref="J219:K219"/>
    <mergeCell ref="B209:C209"/>
    <mergeCell ref="B219:G219"/>
    <mergeCell ref="D220:G220"/>
    <mergeCell ref="H220:I220"/>
    <mergeCell ref="J220:K220"/>
    <mergeCell ref="A221:K221"/>
    <mergeCell ref="A222:K222"/>
    <mergeCell ref="A224:A230"/>
    <mergeCell ref="H230:I230"/>
    <mergeCell ref="J230:K230"/>
    <mergeCell ref="B220:C220"/>
    <mergeCell ref="B230:G230"/>
    <mergeCell ref="D242:G242"/>
    <mergeCell ref="H242:I242"/>
    <mergeCell ref="J242:K242"/>
    <mergeCell ref="A243:K243"/>
    <mergeCell ref="A244:K244"/>
    <mergeCell ref="D231:G231"/>
    <mergeCell ref="H231:I231"/>
    <mergeCell ref="J231:K231"/>
    <mergeCell ref="A232:K232"/>
    <mergeCell ref="A233:K233"/>
    <mergeCell ref="A235:A241"/>
    <mergeCell ref="H241:I241"/>
    <mergeCell ref="J241:K241"/>
    <mergeCell ref="B231:C231"/>
    <mergeCell ref="B241:G241"/>
    <mergeCell ref="B242:C242"/>
  </mergeCells>
  <conditionalFormatting sqref="A6:B6 G6">
    <cfRule type="containsText" dxfId="43" priority="210" operator="containsText" text="Fail (Not Enough BU's Achieved).">
      <formula>NOT(ISERROR(SEARCH("Fail (Not Enough BU's Achieved).",A6)))</formula>
    </cfRule>
    <cfRule type="containsText" dxfId="42" priority="211" operator="containsText" text="Pass">
      <formula>NOT(ISERROR(SEARCH("Pass",A6)))</formula>
    </cfRule>
  </conditionalFormatting>
  <conditionalFormatting sqref="A128:B128 G128">
    <cfRule type="containsText" dxfId="41" priority="199" operator="containsText" text="Fail (Not Enough BU's Achieved).">
      <formula>NOT(ISERROR(SEARCH("Fail (Not Enough BU's Achieved).",A128)))</formula>
    </cfRule>
    <cfRule type="containsText" dxfId="40" priority="200" operator="containsText" text="Pass">
      <formula>NOT(ISERROR(SEARCH("Pass",A128)))</formula>
    </cfRule>
  </conditionalFormatting>
  <conditionalFormatting sqref="A24:K122">
    <cfRule type="expression" dxfId="39" priority="99">
      <formula>$D$8=1</formula>
    </cfRule>
  </conditionalFormatting>
  <conditionalFormatting sqref="A35:K122">
    <cfRule type="expression" dxfId="38" priority="98">
      <formula>$D$8=2</formula>
    </cfRule>
  </conditionalFormatting>
  <conditionalFormatting sqref="A46:K122">
    <cfRule type="expression" dxfId="37" priority="97">
      <formula>$D$8=3</formula>
    </cfRule>
  </conditionalFormatting>
  <conditionalFormatting sqref="A57:K122">
    <cfRule type="expression" dxfId="36" priority="96">
      <formula>$D$8=4</formula>
    </cfRule>
  </conditionalFormatting>
  <conditionalFormatting sqref="A68:K122">
    <cfRule type="expression" dxfId="35" priority="95">
      <formula>$D$8=5</formula>
    </cfRule>
  </conditionalFormatting>
  <conditionalFormatting sqref="A79:K122">
    <cfRule type="expression" dxfId="34" priority="94">
      <formula>$D$8=6</formula>
    </cfRule>
  </conditionalFormatting>
  <conditionalFormatting sqref="A90:K122">
    <cfRule type="expression" dxfId="33" priority="93">
      <formula>$D$8=7</formula>
    </cfRule>
  </conditionalFormatting>
  <conditionalFormatting sqref="A101:K122">
    <cfRule type="expression" dxfId="32" priority="92">
      <formula>$D$8=8</formula>
    </cfRule>
  </conditionalFormatting>
  <conditionalFormatting sqref="A112:K122">
    <cfRule type="expression" dxfId="31" priority="91">
      <formula>$D$8=9</formula>
    </cfRule>
  </conditionalFormatting>
  <conditionalFormatting sqref="A146:K244">
    <cfRule type="expression" dxfId="30" priority="9">
      <formula>$D$130=1</formula>
    </cfRule>
  </conditionalFormatting>
  <conditionalFormatting sqref="A157:K244">
    <cfRule type="expression" dxfId="29" priority="8">
      <formula>$D$130=2</formula>
    </cfRule>
  </conditionalFormatting>
  <conditionalFormatting sqref="A168:K244">
    <cfRule type="expression" dxfId="28" priority="7">
      <formula>$D$130=3</formula>
    </cfRule>
  </conditionalFormatting>
  <conditionalFormatting sqref="A179:K244">
    <cfRule type="expression" dxfId="27" priority="6">
      <formula>$D$130=4</formula>
    </cfRule>
  </conditionalFormatting>
  <conditionalFormatting sqref="A190:K244">
    <cfRule type="expression" dxfId="26" priority="5">
      <formula>$D$130=5</formula>
    </cfRule>
  </conditionalFormatting>
  <conditionalFormatting sqref="A201:K244">
    <cfRule type="expression" dxfId="25" priority="4">
      <formula>$D$130=6</formula>
    </cfRule>
  </conditionalFormatting>
  <conditionalFormatting sqref="A212:K244">
    <cfRule type="expression" dxfId="24" priority="3">
      <formula>$D$130=7</formula>
    </cfRule>
  </conditionalFormatting>
  <conditionalFormatting sqref="A223:K244">
    <cfRule type="expression" dxfId="23" priority="2">
      <formula>$D$130=8</formula>
    </cfRule>
  </conditionalFormatting>
  <conditionalFormatting sqref="A234:K244">
    <cfRule type="expression" dxfId="22" priority="1">
      <formula>$D$130=9</formula>
    </cfRule>
  </conditionalFormatting>
  <dataValidations count="2">
    <dataValidation type="whole" operator="lessThanOrEqual" allowBlank="1" showInputMessage="1" showErrorMessage="1" error="Maximum 10 bracing lines" sqref="D8 D130" xr:uid="{E7329F4A-DFA4-4BF4-B784-D644034D75D8}">
      <formula1>10</formula1>
    </dataValidation>
    <dataValidation type="whole" operator="lessThan" allowBlank="1" showInputMessage="1" showErrorMessage="1" error="Angles must less than 90 degree" sqref="D14:D19 D91:D96 D113:D118 D25:D30 D36:D41 D47:D52 D58:D63 D69:D74 D80:D85 D102:D107 D136:D141 D213:D218 D224:D229 D147:D152 D158:D163 D169:D174 D180:D185 D191:D196 D202:D207 D235:D240" xr:uid="{854BC076-1C1C-4313-9D7D-299AD7C2B7D3}">
      <formula1>90</formula1>
    </dataValidation>
  </dataValidations>
  <printOptions horizontalCentered="1" verticalCentered="1"/>
  <pageMargins left="0.70866141732283472" right="0.70866141732283472" top="0.74803149606299213" bottom="0.74803149606299213" header="0.31496062992125984" footer="0.31496062992125984"/>
  <pageSetup paperSize="9" scale="39" fitToWidth="2" fitToHeight="2" orientation="portrait" r:id="rId1"/>
  <ignoredErrors>
    <ignoredError sqref="B14:B19 B25:B30 B36:B41 B47:B52 B58:B63 B69:B74 B80:B85 B91:B96 B102:B107 B113:B118 B136:B141 B147:B152 B158:B163 B169:B174 B180:B185 B191:B196 B202:B207 B213:B218 B224:B229 B235:B240"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5E8810F2-2E06-4375-A1C5-C679116DD611}">
          <x14:formula1>
            <xm:f>'Product Spec'!$B:$B</xm:f>
          </x14:formula1>
          <xm:sqref>F91:F96 F113:F118 F14:F19 F25:F30 F36:F41 F47:F52 F58:F63 F69:F74 F80:F85 F102:F107 F213:F218 F224:F229 F136:F141 F147:F152 F158:F163 F169:F174 F180:F185 F191:F196 F202:F207 F235:F240</xm:sqref>
        </x14:dataValidation>
        <x14:dataValidation type="list" allowBlank="1" showInputMessage="1" showErrorMessage="1" xr:uid="{4E90F72F-C3C9-402D-B734-C6801F5F2106}">
          <x14:formula1>
            <xm:f>'Product Spec'!$J:$J</xm:f>
          </x14:formula1>
          <xm:sqref>G14 G15 G16 G17 G18 G19 G25 G26 G27 G28 G29 G30 G36 G37 G38 G39 G40 G41 G47 G48 G49 G50 G51 G52 G58 G60 G59 G61 G62 G63 G69 G70 G71 G72 G73 G74 G80 G81 G82 G83 G84 G85 G91 G92 G93 G94 G95 G96 G102 G103 G105 G104 G106 G107 G113 G114 G115 G116 G117 G118 G136 G137 G138 G139 G140 G141 G147 G148 G149 G150 G151 G152 G158 G159 G160 G161 G162 G163 G169 G170 G171 G172 G173 G174 G180 G181 G182 G183 G184 G185 G191 G192 G193 G195 G194 G196 G202 G203 G204 G205 G206 G207 G213 G214 G215 G216 G217 G218 G224 G226 G225 G227 G228 G229 G235 G236 G237 G238 G239 G240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E5BA0-9D24-40F4-A60F-BEB12961273D}">
  <dimension ref="A1:AB244"/>
  <sheetViews>
    <sheetView zoomScaleNormal="100" zoomScaleSheetLayoutView="85" workbookViewId="0">
      <selection activeCell="I30" sqref="I30"/>
    </sheetView>
  </sheetViews>
  <sheetFormatPr defaultColWidth="0" defaultRowHeight="15" customHeight="1" zeroHeight="1" x14ac:dyDescent="0.25"/>
  <cols>
    <col min="1" max="1" width="20.7109375" style="36" customWidth="1"/>
    <col min="2" max="2" width="4.7109375" style="36" customWidth="1"/>
    <col min="3" max="3" width="20.7109375" style="36" customWidth="1"/>
    <col min="4" max="4" width="15.7109375" style="36" customWidth="1"/>
    <col min="5" max="6" width="25.7109375" style="36" customWidth="1"/>
    <col min="7" max="11" width="20.7109375" style="36" customWidth="1"/>
    <col min="12" max="12" width="0.7109375" style="51" customWidth="1"/>
    <col min="13" max="17" width="9.140625" style="36" hidden="1" customWidth="1"/>
    <col min="18" max="27" width="15.7109375" style="36" hidden="1" customWidth="1"/>
    <col min="28" max="16384" width="9.140625" style="36" hidden="1"/>
  </cols>
  <sheetData>
    <row r="1" spans="1:28" ht="50.1" customHeight="1" x14ac:dyDescent="0.25">
      <c r="A1" s="227" t="s">
        <v>177</v>
      </c>
      <c r="B1" s="228"/>
      <c r="C1" s="228"/>
      <c r="D1" s="228"/>
      <c r="E1" s="228"/>
      <c r="F1" s="228"/>
      <c r="G1" s="228"/>
      <c r="H1" s="228"/>
      <c r="I1" s="228"/>
      <c r="J1" s="228"/>
      <c r="K1" s="229"/>
      <c r="L1" s="50"/>
      <c r="T1" s="47" cm="1">
        <f t="array" ref="T1:V1">'Bracing demand'!F33:H33</f>
        <v>1947.5</v>
      </c>
      <c r="U1" s="36">
        <v>0</v>
      </c>
      <c r="V1" s="36">
        <v>0</v>
      </c>
      <c r="X1" s="47" cm="1">
        <f t="array" ref="X1:Z1">'Bracing demand'!C33:E33</f>
        <v>900</v>
      </c>
      <c r="Y1" s="36">
        <v>0</v>
      </c>
      <c r="Z1" s="36">
        <v>0</v>
      </c>
    </row>
    <row r="2" spans="1:28" ht="26.25" customHeight="1" x14ac:dyDescent="0.25">
      <c r="A2" s="176" t="s">
        <v>103</v>
      </c>
      <c r="B2" s="177"/>
      <c r="C2" s="177"/>
      <c r="D2" s="177"/>
      <c r="E2" s="177"/>
      <c r="F2" s="177"/>
      <c r="G2" s="177" t="s">
        <v>104</v>
      </c>
      <c r="H2" s="177"/>
      <c r="I2" s="177"/>
      <c r="J2" s="177"/>
      <c r="K2" s="178"/>
      <c r="L2" s="50"/>
      <c r="T2" s="47" cm="1">
        <f t="array" ref="T2:V2">'Bracing demand'!C45:E45</f>
        <v>2788.8</v>
      </c>
      <c r="U2" s="36">
        <v>0</v>
      </c>
      <c r="V2" s="36">
        <v>0</v>
      </c>
      <c r="X2" s="47" cm="1">
        <f t="array" ref="X2:Z2">'Bracing demand'!C45:E45</f>
        <v>2788.8</v>
      </c>
      <c r="Y2" s="36">
        <v>0</v>
      </c>
      <c r="Z2" s="36">
        <v>0</v>
      </c>
    </row>
    <row r="3" spans="1:28" ht="26.25" customHeight="1" x14ac:dyDescent="0.25">
      <c r="A3" s="165" t="s">
        <v>108</v>
      </c>
      <c r="B3" s="166"/>
      <c r="C3" s="166"/>
      <c r="D3" s="133" t="str">
        <f>IF('Bracing demand'!$DU$2=2,"#N/A",$X$1)</f>
        <v>#N/A</v>
      </c>
      <c r="E3" s="133"/>
      <c r="F3" s="33" t="s">
        <v>106</v>
      </c>
      <c r="G3" s="168" t="s">
        <v>108</v>
      </c>
      <c r="H3" s="168"/>
      <c r="I3" s="167" t="str">
        <f>IF('Bracing demand'!$DU$2=2,"#N/A",$T$2)</f>
        <v>#N/A</v>
      </c>
      <c r="J3" s="167"/>
      <c r="K3" s="40" t="s">
        <v>106</v>
      </c>
      <c r="L3" s="50"/>
      <c r="P3" s="48"/>
    </row>
    <row r="4" spans="1:28" ht="26.25" customHeight="1" x14ac:dyDescent="0.25">
      <c r="A4" s="165" t="s">
        <v>109</v>
      </c>
      <c r="B4" s="166"/>
      <c r="C4" s="166"/>
      <c r="D4" s="167">
        <f>ROUND(SUM(H20,H31,H42,H53,H64,H75,H86,H97,H108,H119),0)</f>
        <v>4200</v>
      </c>
      <c r="E4" s="167"/>
      <c r="F4" s="33" t="s">
        <v>106</v>
      </c>
      <c r="G4" s="168" t="s">
        <v>109</v>
      </c>
      <c r="H4" s="168"/>
      <c r="I4" s="167">
        <f>ROUND(SUM(J20,J31,J42,J53,J64,J75,J86,J97,J108,J119),0)</f>
        <v>4200</v>
      </c>
      <c r="J4" s="167"/>
      <c r="K4" s="40" t="s">
        <v>106</v>
      </c>
      <c r="L4" s="50"/>
    </row>
    <row r="5" spans="1:28" ht="26.25" customHeight="1" x14ac:dyDescent="0.25">
      <c r="A5" s="165" t="s">
        <v>110</v>
      </c>
      <c r="B5" s="166"/>
      <c r="C5" s="166"/>
      <c r="D5" s="167" t="e">
        <f>(D4/D125)*100</f>
        <v>#VALUE!</v>
      </c>
      <c r="E5" s="167"/>
      <c r="F5" s="33" t="s">
        <v>105</v>
      </c>
      <c r="G5" s="168" t="s">
        <v>110</v>
      </c>
      <c r="H5" s="168"/>
      <c r="I5" s="167" t="e">
        <f>(I4/I3)*100</f>
        <v>#VALUE!</v>
      </c>
      <c r="J5" s="167"/>
      <c r="K5" s="40" t="s">
        <v>105</v>
      </c>
      <c r="L5" s="50"/>
      <c r="AA5" s="36" t="s">
        <v>103</v>
      </c>
      <c r="AB5" s="36" t="s">
        <v>131</v>
      </c>
    </row>
    <row r="6" spans="1:28" ht="24.95" customHeight="1" x14ac:dyDescent="0.25">
      <c r="A6" s="159" t="e">
        <f>IF(D5&gt;=100,"Pass","Fail (Not Enough BU's Achieved).")</f>
        <v>#VALUE!</v>
      </c>
      <c r="B6" s="97"/>
      <c r="C6" s="97"/>
      <c r="D6" s="97"/>
      <c r="E6" s="97"/>
      <c r="F6" s="97"/>
      <c r="G6" s="97" t="e">
        <f>IF(I5&gt;=100,"Pass","Fail (Not Enough BU's Achieved).")</f>
        <v>#VALUE!</v>
      </c>
      <c r="H6" s="97"/>
      <c r="I6" s="97"/>
      <c r="J6" s="97"/>
      <c r="K6" s="169"/>
      <c r="L6" s="50"/>
    </row>
    <row r="7" spans="1:28" ht="24.95" customHeight="1" x14ac:dyDescent="0.25">
      <c r="A7" s="159"/>
      <c r="B7" s="97"/>
      <c r="C7" s="97"/>
      <c r="D7" s="97"/>
      <c r="E7" s="97"/>
      <c r="F7" s="97"/>
      <c r="G7" s="97"/>
      <c r="H7" s="97"/>
      <c r="I7" s="97"/>
      <c r="J7" s="97"/>
      <c r="K7" s="169"/>
      <c r="L7" s="50"/>
    </row>
    <row r="8" spans="1:28" ht="9.9499999999999993" customHeight="1" x14ac:dyDescent="0.25">
      <c r="A8" s="185" t="s">
        <v>107</v>
      </c>
      <c r="B8" s="186"/>
      <c r="C8" s="186"/>
      <c r="D8" s="187">
        <v>10</v>
      </c>
      <c r="E8" s="102" t="s">
        <v>167</v>
      </c>
      <c r="F8" s="102"/>
      <c r="G8" s="102"/>
      <c r="H8" s="102"/>
      <c r="I8" s="102"/>
      <c r="J8" s="102"/>
      <c r="K8" s="188"/>
      <c r="L8" s="50"/>
    </row>
    <row r="9" spans="1:28" ht="9.9499999999999993" customHeight="1" x14ac:dyDescent="0.25">
      <c r="A9" s="185"/>
      <c r="B9" s="186"/>
      <c r="C9" s="186"/>
      <c r="D9" s="187"/>
      <c r="E9" s="102"/>
      <c r="F9" s="102"/>
      <c r="G9" s="102"/>
      <c r="H9" s="102"/>
      <c r="I9" s="102"/>
      <c r="J9" s="102"/>
      <c r="K9" s="188"/>
      <c r="L9" s="50"/>
    </row>
    <row r="10" spans="1:28" ht="9.9499999999999993" customHeight="1" x14ac:dyDescent="0.25">
      <c r="A10" s="185"/>
      <c r="B10" s="186"/>
      <c r="C10" s="186"/>
      <c r="D10" s="187"/>
      <c r="E10" s="102"/>
      <c r="F10" s="102"/>
      <c r="G10" s="102"/>
      <c r="H10" s="102"/>
      <c r="I10" s="102"/>
      <c r="J10" s="102"/>
      <c r="K10" s="188"/>
      <c r="L10" s="50"/>
    </row>
    <row r="11" spans="1:28" ht="15" customHeight="1" x14ac:dyDescent="0.25">
      <c r="A11" s="223"/>
      <c r="B11" s="224"/>
      <c r="C11" s="224"/>
      <c r="D11" s="224"/>
      <c r="E11" s="224"/>
      <c r="F11" s="224"/>
      <c r="G11" s="224"/>
      <c r="H11" s="224"/>
      <c r="I11" s="224"/>
      <c r="J11" s="224"/>
      <c r="K11" s="225"/>
    </row>
    <row r="12" spans="1:28" ht="15" customHeight="1" x14ac:dyDescent="0.25">
      <c r="A12" s="222"/>
      <c r="B12" s="56"/>
      <c r="C12" s="56"/>
      <c r="D12" s="56"/>
      <c r="E12" s="56"/>
      <c r="F12" s="56"/>
      <c r="G12" s="56"/>
      <c r="H12" s="97" t="s">
        <v>103</v>
      </c>
      <c r="I12" s="97"/>
      <c r="J12" s="97" t="s">
        <v>104</v>
      </c>
      <c r="K12" s="169"/>
    </row>
    <row r="13" spans="1:28" ht="15" customHeight="1" x14ac:dyDescent="0.25">
      <c r="A13" s="42" t="s">
        <v>83</v>
      </c>
      <c r="B13" s="33" t="s">
        <v>198</v>
      </c>
      <c r="C13" s="34" t="s">
        <v>119</v>
      </c>
      <c r="D13" s="33" t="s">
        <v>87</v>
      </c>
      <c r="E13" s="33" t="s">
        <v>84</v>
      </c>
      <c r="F13" s="33" t="s">
        <v>85</v>
      </c>
      <c r="G13" s="56"/>
      <c r="H13" s="24" t="s">
        <v>165</v>
      </c>
      <c r="I13" s="24" t="s">
        <v>169</v>
      </c>
      <c r="J13" s="24" t="s">
        <v>165</v>
      </c>
      <c r="K13" s="41" t="s">
        <v>169</v>
      </c>
      <c r="V13" s="36" t="s">
        <v>164</v>
      </c>
    </row>
    <row r="14" spans="1:28" ht="15" customHeight="1" x14ac:dyDescent="0.25">
      <c r="A14" s="236" t="s">
        <v>13</v>
      </c>
      <c r="B14" s="20" t="s">
        <v>199</v>
      </c>
      <c r="C14" s="19">
        <v>100</v>
      </c>
      <c r="D14" s="17">
        <v>0</v>
      </c>
      <c r="E14" s="18" t="s">
        <v>159</v>
      </c>
      <c r="F14" s="18"/>
      <c r="G14" s="56"/>
      <c r="H14" s="37">
        <f>IFERROR(VLOOKUP(E14,'Product Spec'!$O$1:$R$8,3,FALSE)," ")</f>
        <v>42</v>
      </c>
      <c r="I14" s="37">
        <f>IFERROR(C14*H14*P14," ")</f>
        <v>4200</v>
      </c>
      <c r="J14" s="37">
        <f>IFERROR(VLOOKUP(E14,'Product Spec'!$O$1:$R$8,4,FALSE)," ")</f>
        <v>42</v>
      </c>
      <c r="K14" s="43">
        <f>IFERROR(C14*J14*P14," ")</f>
        <v>4200</v>
      </c>
      <c r="P14" s="36">
        <f t="shared" ref="P14:P19" si="0">IF(OR(D14=30,D14=45,D14=60),Q14,COS(R14))</f>
        <v>1</v>
      </c>
      <c r="Q14" s="36" t="e" cm="1">
        <f t="array" ref="Q14">_xlfn.IFS(D14=30,0.87,D14=45,0.7,D14=60,0.5)</f>
        <v>#N/A</v>
      </c>
      <c r="R14" s="36">
        <f t="shared" ref="R14:R19" si="1">(PI()/180)*D14</f>
        <v>0</v>
      </c>
      <c r="S14" s="36" t="e">
        <f>H20/H21</f>
        <v>#VALUE!</v>
      </c>
      <c r="V14" s="36">
        <f xml:space="preserve"> C21*15</f>
        <v>0</v>
      </c>
    </row>
    <row r="15" spans="1:28" ht="15" customHeight="1" x14ac:dyDescent="0.25">
      <c r="A15" s="236"/>
      <c r="B15" s="20" t="s">
        <v>200</v>
      </c>
      <c r="C15" s="19"/>
      <c r="D15" s="17"/>
      <c r="E15" s="18"/>
      <c r="F15" s="18"/>
      <c r="G15" s="56"/>
      <c r="H15" s="37" t="str">
        <f>IFERROR(VLOOKUP(E15,'Product Spec'!$O$1:$R$8,3,FALSE)," ")</f>
        <v xml:space="preserve"> </v>
      </c>
      <c r="I15" s="37" t="str">
        <f t="shared" ref="I15:I19" si="2">IFERROR(C15*H15*P15," ")</f>
        <v xml:space="preserve"> </v>
      </c>
      <c r="J15" s="37" t="str">
        <f>IFERROR(VLOOKUP(E15,'Product Spec'!$O$1:$R$8,4,FALSE)," ")</f>
        <v xml:space="preserve"> </v>
      </c>
      <c r="K15" s="43" t="str">
        <f t="shared" ref="K15:K19" si="3">IFERROR(C15*J15*P15," ")</f>
        <v xml:space="preserve"> </v>
      </c>
      <c r="P15" s="36">
        <f t="shared" si="0"/>
        <v>1</v>
      </c>
      <c r="Q15" s="36" t="e" cm="1">
        <f t="array" ref="Q15">_xlfn.IFS(D15=30,0.87,D15=45,0.7,D15=60,0.5)</f>
        <v>#N/A</v>
      </c>
      <c r="R15" s="36">
        <f t="shared" si="1"/>
        <v>0</v>
      </c>
      <c r="S15" s="36" t="e">
        <f>J20/J21</f>
        <v>#VALUE!</v>
      </c>
    </row>
    <row r="16" spans="1:28" ht="15" customHeight="1" x14ac:dyDescent="0.25">
      <c r="A16" s="236"/>
      <c r="B16" s="20" t="s">
        <v>201</v>
      </c>
      <c r="C16" s="19"/>
      <c r="D16" s="17"/>
      <c r="E16" s="18"/>
      <c r="F16" s="18"/>
      <c r="G16" s="56"/>
      <c r="H16" s="37" t="str">
        <f>IFERROR(VLOOKUP(E16,'Product Spec'!$O$1:$R$8,3,FALSE)," ")</f>
        <v xml:space="preserve"> </v>
      </c>
      <c r="I16" s="37" t="str">
        <f t="shared" si="2"/>
        <v xml:space="preserve"> </v>
      </c>
      <c r="J16" s="37" t="str">
        <f>IFERROR(VLOOKUP(E16,'Product Spec'!$O$1:$R$8,4,FALSE)," ")</f>
        <v xml:space="preserve"> </v>
      </c>
      <c r="K16" s="43" t="str">
        <f t="shared" si="3"/>
        <v xml:space="preserve"> </v>
      </c>
      <c r="P16" s="36">
        <f t="shared" si="0"/>
        <v>1</v>
      </c>
      <c r="Q16" s="36" t="e" cm="1">
        <f t="array" ref="Q16">_xlfn.IFS(D16=30,0.87,D16=45,0.7,D16=60,0.5)</f>
        <v>#N/A</v>
      </c>
      <c r="R16" s="36">
        <f t="shared" si="1"/>
        <v>0</v>
      </c>
    </row>
    <row r="17" spans="1:22" ht="15" customHeight="1" x14ac:dyDescent="0.25">
      <c r="A17" s="236"/>
      <c r="B17" s="20" t="s">
        <v>202</v>
      </c>
      <c r="C17" s="19"/>
      <c r="D17" s="17"/>
      <c r="E17" s="18"/>
      <c r="F17" s="18"/>
      <c r="G17" s="56"/>
      <c r="H17" s="37" t="str">
        <f>IFERROR(VLOOKUP(E17,'Product Spec'!$O$1:$R$8,3,FALSE)," ")</f>
        <v xml:space="preserve"> </v>
      </c>
      <c r="I17" s="37" t="str">
        <f t="shared" si="2"/>
        <v xml:space="preserve"> </v>
      </c>
      <c r="J17" s="37" t="str">
        <f>IFERROR(VLOOKUP(E17,'Product Spec'!$O$1:$R$8,4,FALSE)," ")</f>
        <v xml:space="preserve"> </v>
      </c>
      <c r="K17" s="43" t="str">
        <f t="shared" si="3"/>
        <v xml:space="preserve"> </v>
      </c>
      <c r="P17" s="36">
        <f t="shared" si="0"/>
        <v>1</v>
      </c>
      <c r="Q17" s="36" t="e" cm="1">
        <f t="array" ref="Q17">_xlfn.IFS(D17=30,0.87,D17=45,0.7,D17=60,0.5)</f>
        <v>#N/A</v>
      </c>
      <c r="R17" s="36">
        <f t="shared" si="1"/>
        <v>0</v>
      </c>
    </row>
    <row r="18" spans="1:22" ht="15" customHeight="1" x14ac:dyDescent="0.25">
      <c r="A18" s="236"/>
      <c r="B18" s="20" t="s">
        <v>203</v>
      </c>
      <c r="C18" s="19"/>
      <c r="D18" s="17"/>
      <c r="E18" s="18"/>
      <c r="F18" s="18"/>
      <c r="G18" s="56"/>
      <c r="H18" s="37" t="str">
        <f>IFERROR(VLOOKUP(E18,'Product Spec'!$O$1:$R$8,3,FALSE)," ")</f>
        <v xml:space="preserve"> </v>
      </c>
      <c r="I18" s="37" t="str">
        <f t="shared" si="2"/>
        <v xml:space="preserve"> </v>
      </c>
      <c r="J18" s="37" t="str">
        <f>IFERROR(VLOOKUP(E18,'Product Spec'!$O$1:$R$8,4,FALSE)," ")</f>
        <v xml:space="preserve"> </v>
      </c>
      <c r="K18" s="43" t="str">
        <f t="shared" si="3"/>
        <v xml:space="preserve"> </v>
      </c>
      <c r="P18" s="36">
        <f t="shared" si="0"/>
        <v>1</v>
      </c>
      <c r="Q18" s="36" t="e" cm="1">
        <f t="array" ref="Q18">_xlfn.IFS(D18=30,0.87,D18=45,0.7,D18=60,0.5)</f>
        <v>#N/A</v>
      </c>
      <c r="R18" s="36">
        <f t="shared" si="1"/>
        <v>0</v>
      </c>
    </row>
    <row r="19" spans="1:22" ht="15" customHeight="1" x14ac:dyDescent="0.25">
      <c r="A19" s="236"/>
      <c r="B19" s="20" t="s">
        <v>204</v>
      </c>
      <c r="C19" s="19"/>
      <c r="D19" s="17"/>
      <c r="E19" s="18"/>
      <c r="F19" s="18"/>
      <c r="G19" s="56"/>
      <c r="H19" s="37" t="str">
        <f>IFERROR(VLOOKUP(E19,'Product Spec'!$O$1:$R$8,3,FALSE)," ")</f>
        <v xml:space="preserve"> </v>
      </c>
      <c r="I19" s="37" t="str">
        <f t="shared" si="2"/>
        <v xml:space="preserve"> </v>
      </c>
      <c r="J19" s="37" t="str">
        <f>IFERROR(VLOOKUP(E19,'Product Spec'!$O$1:$R$8,4,FALSE)," ")</f>
        <v xml:space="preserve"> </v>
      </c>
      <c r="K19" s="43" t="str">
        <f t="shared" si="3"/>
        <v xml:space="preserve"> </v>
      </c>
      <c r="P19" s="36">
        <f t="shared" si="0"/>
        <v>1</v>
      </c>
      <c r="Q19" s="36" t="e" cm="1">
        <f t="array" ref="Q19">_xlfn.IFS(D19=30,0.87,D19=45,0.7,D19=60,0.5)</f>
        <v>#N/A</v>
      </c>
      <c r="R19" s="36">
        <f t="shared" si="1"/>
        <v>0</v>
      </c>
    </row>
    <row r="20" spans="1:22" ht="15" customHeight="1" x14ac:dyDescent="0.25">
      <c r="A20" s="236"/>
      <c r="B20" s="98" t="s">
        <v>170</v>
      </c>
      <c r="C20" s="99"/>
      <c r="D20" s="99"/>
      <c r="E20" s="99"/>
      <c r="F20" s="99"/>
      <c r="G20" s="100"/>
      <c r="H20" s="217" cm="1">
        <f t="array" ref="H20">SUM(IFERROR(I14:I19,0))</f>
        <v>4200</v>
      </c>
      <c r="I20" s="217"/>
      <c r="J20" s="217" cm="1">
        <f t="array" ref="J20">SUM(IFERROR(K14:K19,0))</f>
        <v>4200</v>
      </c>
      <c r="K20" s="218"/>
    </row>
    <row r="21" spans="1:22" ht="15" customHeight="1" x14ac:dyDescent="0.25">
      <c r="A21" s="44" t="s">
        <v>168</v>
      </c>
      <c r="B21" s="160"/>
      <c r="C21" s="161"/>
      <c r="D21" s="99" t="s">
        <v>166</v>
      </c>
      <c r="E21" s="99"/>
      <c r="F21" s="99"/>
      <c r="G21" s="100"/>
      <c r="H21" s="167" t="e">
        <f>MAX(100,(0.5*$D$3)/$D$8,V14)</f>
        <v>#VALUE!</v>
      </c>
      <c r="I21" s="167"/>
      <c r="J21" s="167" t="e">
        <f>MAX(100,(0.5*$I$3)/$D$8,V14)</f>
        <v>#VALUE!</v>
      </c>
      <c r="K21" s="226"/>
    </row>
    <row r="22" spans="1:22" s="49" customFormat="1" ht="15" customHeight="1" x14ac:dyDescent="0.25">
      <c r="A22" s="208" t="e">
        <f>IF(OR(S14&lt;1,S15&lt;1),"Warning: Doesn’t meet the minimum BU's requirement per line."," ")</f>
        <v>#VALUE!</v>
      </c>
      <c r="B22" s="209"/>
      <c r="C22" s="209"/>
      <c r="D22" s="209"/>
      <c r="E22" s="209"/>
      <c r="F22" s="209"/>
      <c r="G22" s="209"/>
      <c r="H22" s="209"/>
      <c r="I22" s="209"/>
      <c r="J22" s="209"/>
      <c r="K22" s="210"/>
      <c r="L22" s="51"/>
    </row>
    <row r="23" spans="1:22" ht="15" customHeight="1" x14ac:dyDescent="0.25">
      <c r="A23" s="214"/>
      <c r="B23" s="215"/>
      <c r="C23" s="215"/>
      <c r="D23" s="215"/>
      <c r="E23" s="215"/>
      <c r="F23" s="215"/>
      <c r="G23" s="215"/>
      <c r="H23" s="215"/>
      <c r="I23" s="215"/>
      <c r="J23" s="215"/>
      <c r="K23" s="216"/>
      <c r="M23" s="49"/>
      <c r="N23" s="49"/>
      <c r="O23" s="49"/>
      <c r="P23" s="49"/>
      <c r="Q23" s="49"/>
      <c r="R23" s="49"/>
      <c r="S23" s="49"/>
      <c r="T23" s="49"/>
      <c r="U23" s="49"/>
      <c r="V23" s="49"/>
    </row>
    <row r="24" spans="1:22" ht="15" customHeight="1" x14ac:dyDescent="0.25">
      <c r="A24" s="42" t="s">
        <v>83</v>
      </c>
      <c r="B24" s="33" t="s">
        <v>198</v>
      </c>
      <c r="C24" s="34" t="s">
        <v>86</v>
      </c>
      <c r="D24" s="33" t="s">
        <v>87</v>
      </c>
      <c r="E24" s="33" t="s">
        <v>84</v>
      </c>
      <c r="F24" s="33" t="s">
        <v>85</v>
      </c>
      <c r="G24" s="56"/>
      <c r="H24" s="24" t="s">
        <v>165</v>
      </c>
      <c r="I24" s="24" t="s">
        <v>169</v>
      </c>
      <c r="J24" s="24" t="s">
        <v>165</v>
      </c>
      <c r="K24" s="41" t="s">
        <v>169</v>
      </c>
      <c r="V24" s="36" t="s">
        <v>164</v>
      </c>
    </row>
    <row r="25" spans="1:22" ht="15" customHeight="1" x14ac:dyDescent="0.25">
      <c r="A25" s="236" t="s">
        <v>39</v>
      </c>
      <c r="B25" s="20" t="s">
        <v>199</v>
      </c>
      <c r="C25" s="19"/>
      <c r="D25" s="17"/>
      <c r="E25" s="18" t="s">
        <v>120</v>
      </c>
      <c r="F25" s="18"/>
      <c r="G25" s="56"/>
      <c r="H25" s="37">
        <f>IFERROR(VLOOKUP(E25,'Product Spec'!$O$1:$R$8,3,FALSE)," ")</f>
        <v>120</v>
      </c>
      <c r="I25" s="37">
        <f>IFERROR(C25*H25*P25," ")</f>
        <v>0</v>
      </c>
      <c r="J25" s="37">
        <f>IFERROR(VLOOKUP(E25,'Product Spec'!$O$1:$R$8,4,FALSE)," ")</f>
        <v>160</v>
      </c>
      <c r="K25" s="43">
        <f>IFERROR(C25*J25*P25," ")</f>
        <v>0</v>
      </c>
      <c r="P25" s="36">
        <f>IF(OR(D25=30,D25=45,D25=60),Q25,COS(R25))</f>
        <v>1</v>
      </c>
      <c r="Q25" s="36" t="e" cm="1">
        <f t="array" ref="Q25">_xlfn.IFS(D25=30,0.87,D25=45,0.7,D25=60,0.5)</f>
        <v>#N/A</v>
      </c>
      <c r="R25" s="36">
        <f>(PI()/180)*D25</f>
        <v>0</v>
      </c>
      <c r="S25" s="36" t="e">
        <f>H31/H32</f>
        <v>#VALUE!</v>
      </c>
      <c r="V25" s="36">
        <f xml:space="preserve"> C32*15</f>
        <v>0</v>
      </c>
    </row>
    <row r="26" spans="1:22" ht="15" customHeight="1" x14ac:dyDescent="0.25">
      <c r="A26" s="236"/>
      <c r="B26" s="20" t="s">
        <v>200</v>
      </c>
      <c r="C26" s="19"/>
      <c r="D26" s="17"/>
      <c r="E26" s="18"/>
      <c r="F26" s="18"/>
      <c r="G26" s="56"/>
      <c r="H26" s="37" t="str">
        <f>IFERROR(VLOOKUP(E26,'Product Spec'!$O$1:$R$8,3,FALSE)," ")</f>
        <v xml:space="preserve"> </v>
      </c>
      <c r="I26" s="37" t="str">
        <f t="shared" ref="I26:I30" si="4">IFERROR(C26*H26*P26," ")</f>
        <v xml:space="preserve"> </v>
      </c>
      <c r="J26" s="37" t="str">
        <f>IFERROR(VLOOKUP(E26,'Product Spec'!$O$1:$R$8,4,FALSE)," ")</f>
        <v xml:space="preserve"> </v>
      </c>
      <c r="K26" s="43" t="str">
        <f t="shared" ref="K26:K30" si="5">IFERROR(C26*J26*P26," ")</f>
        <v xml:space="preserve"> </v>
      </c>
      <c r="P26" s="36">
        <f t="shared" ref="P26:P30" si="6">IF(OR(D26=30,D26=45,D26=60),Q26,COS(R26))</f>
        <v>1</v>
      </c>
      <c r="Q26" s="36" t="e" cm="1">
        <f t="array" ref="Q26">_xlfn.IFS(D26=30,0.87,D26=45,0.7,D26=60,0.5)</f>
        <v>#N/A</v>
      </c>
      <c r="R26" s="36">
        <f t="shared" ref="R26:R30" si="7">(PI()/180)*D26</f>
        <v>0</v>
      </c>
      <c r="S26" s="36" t="e">
        <f>J31/J32</f>
        <v>#VALUE!</v>
      </c>
    </row>
    <row r="27" spans="1:22" ht="15" customHeight="1" x14ac:dyDescent="0.25">
      <c r="A27" s="236"/>
      <c r="B27" s="20" t="s">
        <v>201</v>
      </c>
      <c r="C27" s="19"/>
      <c r="D27" s="17"/>
      <c r="E27" s="18"/>
      <c r="F27" s="18"/>
      <c r="G27" s="56"/>
      <c r="H27" s="37" t="str">
        <f>IFERROR(VLOOKUP(E27,'Product Spec'!$O$1:$R$8,3,FALSE)," ")</f>
        <v xml:space="preserve"> </v>
      </c>
      <c r="I27" s="37" t="str">
        <f t="shared" si="4"/>
        <v xml:space="preserve"> </v>
      </c>
      <c r="J27" s="37" t="str">
        <f>IFERROR(VLOOKUP(E27,'Product Spec'!$O$1:$R$8,4,FALSE)," ")</f>
        <v xml:space="preserve"> </v>
      </c>
      <c r="K27" s="43" t="str">
        <f t="shared" si="5"/>
        <v xml:space="preserve"> </v>
      </c>
      <c r="P27" s="36">
        <f t="shared" si="6"/>
        <v>1</v>
      </c>
      <c r="Q27" s="36" t="e" cm="1">
        <f t="array" ref="Q27">_xlfn.IFS(D27=30,0.87,D27=45,0.7,D27=60,0.5)</f>
        <v>#N/A</v>
      </c>
      <c r="R27" s="36">
        <f t="shared" si="7"/>
        <v>0</v>
      </c>
    </row>
    <row r="28" spans="1:22" ht="15" customHeight="1" x14ac:dyDescent="0.25">
      <c r="A28" s="236"/>
      <c r="B28" s="20" t="s">
        <v>202</v>
      </c>
      <c r="C28" s="19"/>
      <c r="D28" s="17"/>
      <c r="E28" s="18"/>
      <c r="F28" s="18"/>
      <c r="G28" s="56"/>
      <c r="H28" s="37" t="str">
        <f>IFERROR(VLOOKUP(E28,'Product Spec'!$O$1:$R$8,3,FALSE)," ")</f>
        <v xml:space="preserve"> </v>
      </c>
      <c r="I28" s="37" t="str">
        <f t="shared" si="4"/>
        <v xml:space="preserve"> </v>
      </c>
      <c r="J28" s="37" t="str">
        <f>IFERROR(VLOOKUP(E28,'Product Spec'!$O$1:$R$8,4,FALSE)," ")</f>
        <v xml:space="preserve"> </v>
      </c>
      <c r="K28" s="43" t="str">
        <f t="shared" si="5"/>
        <v xml:space="preserve"> </v>
      </c>
      <c r="P28" s="36">
        <f t="shared" si="6"/>
        <v>1</v>
      </c>
      <c r="Q28" s="36" t="e" cm="1">
        <f t="array" ref="Q28">_xlfn.IFS(D28=30,0.87,D28=45,0.7,D28=60,0.5)</f>
        <v>#N/A</v>
      </c>
      <c r="R28" s="36">
        <f t="shared" si="7"/>
        <v>0</v>
      </c>
    </row>
    <row r="29" spans="1:22" ht="15" customHeight="1" x14ac:dyDescent="0.25">
      <c r="A29" s="236"/>
      <c r="B29" s="20" t="s">
        <v>203</v>
      </c>
      <c r="C29" s="19"/>
      <c r="D29" s="17"/>
      <c r="E29" s="18"/>
      <c r="F29" s="18"/>
      <c r="G29" s="56"/>
      <c r="H29" s="37" t="str">
        <f>IFERROR(VLOOKUP(E29,'Product Spec'!$O$1:$R$8,3,FALSE)," ")</f>
        <v xml:space="preserve"> </v>
      </c>
      <c r="I29" s="37" t="str">
        <f t="shared" si="4"/>
        <v xml:space="preserve"> </v>
      </c>
      <c r="J29" s="37" t="str">
        <f>IFERROR(VLOOKUP(E29,'Product Spec'!$O$1:$R$8,4,FALSE)," ")</f>
        <v xml:space="preserve"> </v>
      </c>
      <c r="K29" s="43" t="str">
        <f t="shared" si="5"/>
        <v xml:space="preserve"> </v>
      </c>
      <c r="P29" s="36">
        <f t="shared" si="6"/>
        <v>1</v>
      </c>
      <c r="Q29" s="36" t="e" cm="1">
        <f t="array" ref="Q29">_xlfn.IFS(D29=30,0.87,D29=45,0.7,D29=60,0.5)</f>
        <v>#N/A</v>
      </c>
      <c r="R29" s="36">
        <f t="shared" si="7"/>
        <v>0</v>
      </c>
    </row>
    <row r="30" spans="1:22" ht="15" customHeight="1" x14ac:dyDescent="0.25">
      <c r="A30" s="236"/>
      <c r="B30" s="20" t="s">
        <v>204</v>
      </c>
      <c r="C30" s="19"/>
      <c r="D30" s="17"/>
      <c r="E30" s="18"/>
      <c r="F30" s="18"/>
      <c r="G30" s="56"/>
      <c r="H30" s="37" t="str">
        <f>IFERROR(VLOOKUP(E30,'Product Spec'!$O$1:$R$8,3,FALSE)," ")</f>
        <v xml:space="preserve"> </v>
      </c>
      <c r="I30" s="37" t="str">
        <f t="shared" si="4"/>
        <v xml:space="preserve"> </v>
      </c>
      <c r="J30" s="37" t="str">
        <f>IFERROR(VLOOKUP(E30,'Product Spec'!$O$1:$R$8,4,FALSE)," ")</f>
        <v xml:space="preserve"> </v>
      </c>
      <c r="K30" s="43" t="str">
        <f t="shared" si="5"/>
        <v xml:space="preserve"> </v>
      </c>
      <c r="P30" s="36">
        <f t="shared" si="6"/>
        <v>1</v>
      </c>
      <c r="Q30" s="36" t="e" cm="1">
        <f t="array" ref="Q30">_xlfn.IFS(D30=30,0.87,D30=45,0.7,D30=60,0.5)</f>
        <v>#N/A</v>
      </c>
      <c r="R30" s="36">
        <f t="shared" si="7"/>
        <v>0</v>
      </c>
    </row>
    <row r="31" spans="1:22" ht="15" customHeight="1" x14ac:dyDescent="0.25">
      <c r="A31" s="236"/>
      <c r="B31" s="98" t="s">
        <v>170</v>
      </c>
      <c r="C31" s="99"/>
      <c r="D31" s="99"/>
      <c r="E31" s="99"/>
      <c r="F31" s="99"/>
      <c r="G31" s="100"/>
      <c r="H31" s="217" cm="1">
        <f t="array" ref="H31">IF(D8&lt;2,0,SUM(IFERROR(I25:I30,0)))</f>
        <v>0</v>
      </c>
      <c r="I31" s="217"/>
      <c r="J31" s="217" cm="1">
        <f t="array" ref="J31">IF(D8&lt;2,0,SUM(IFERROR(K25:K30,0)))</f>
        <v>0</v>
      </c>
      <c r="K31" s="218"/>
    </row>
    <row r="32" spans="1:22" ht="15" customHeight="1" x14ac:dyDescent="0.25">
      <c r="A32" s="44" t="s">
        <v>168</v>
      </c>
      <c r="B32" s="160"/>
      <c r="C32" s="161"/>
      <c r="D32" s="99" t="s">
        <v>166</v>
      </c>
      <c r="E32" s="99"/>
      <c r="F32" s="99"/>
      <c r="G32" s="100"/>
      <c r="H32" s="167" t="e">
        <f>MAX(100,(0.5*$D$3)/$D$8,V25)</f>
        <v>#VALUE!</v>
      </c>
      <c r="I32" s="167"/>
      <c r="J32" s="167" t="e">
        <f>MAX(100,(0.5*$I$3)/$D$8,V25)</f>
        <v>#VALUE!</v>
      </c>
      <c r="K32" s="226"/>
    </row>
    <row r="33" spans="1:22" s="49" customFormat="1" ht="15" customHeight="1" x14ac:dyDescent="0.25">
      <c r="A33" s="208" t="e">
        <f>IF(OR(S25&lt;1,S26&lt;1),"Warning: Doesn’t meet the minimum BU's requirement per line."," ")</f>
        <v>#VALUE!</v>
      </c>
      <c r="B33" s="209"/>
      <c r="C33" s="209"/>
      <c r="D33" s="209"/>
      <c r="E33" s="209"/>
      <c r="F33" s="209"/>
      <c r="G33" s="209"/>
      <c r="H33" s="209"/>
      <c r="I33" s="209"/>
      <c r="J33" s="209"/>
      <c r="K33" s="210"/>
      <c r="L33" s="51"/>
    </row>
    <row r="34" spans="1:22" ht="15" customHeight="1" x14ac:dyDescent="0.25">
      <c r="A34" s="214"/>
      <c r="B34" s="215"/>
      <c r="C34" s="215"/>
      <c r="D34" s="215"/>
      <c r="E34" s="215"/>
      <c r="F34" s="215"/>
      <c r="G34" s="215"/>
      <c r="H34" s="215"/>
      <c r="I34" s="215"/>
      <c r="J34" s="215"/>
      <c r="K34" s="216"/>
      <c r="M34" s="49"/>
      <c r="N34" s="49"/>
      <c r="O34" s="49"/>
      <c r="P34" s="49"/>
      <c r="Q34" s="49"/>
      <c r="R34" s="49"/>
      <c r="S34" s="49"/>
      <c r="T34" s="49"/>
      <c r="U34" s="49"/>
      <c r="V34" s="49"/>
    </row>
    <row r="35" spans="1:22" ht="15" customHeight="1" x14ac:dyDescent="0.25">
      <c r="A35" s="42" t="s">
        <v>83</v>
      </c>
      <c r="B35" s="33" t="s">
        <v>198</v>
      </c>
      <c r="C35" s="34" t="s">
        <v>86</v>
      </c>
      <c r="D35" s="33" t="s">
        <v>87</v>
      </c>
      <c r="E35" s="33" t="s">
        <v>84</v>
      </c>
      <c r="F35" s="33" t="s">
        <v>85</v>
      </c>
      <c r="G35" s="56"/>
      <c r="H35" s="24" t="s">
        <v>165</v>
      </c>
      <c r="I35" s="24" t="s">
        <v>169</v>
      </c>
      <c r="J35" s="24" t="s">
        <v>165</v>
      </c>
      <c r="K35" s="41" t="s">
        <v>169</v>
      </c>
      <c r="V35" s="36" t="s">
        <v>164</v>
      </c>
    </row>
    <row r="36" spans="1:22" ht="15" customHeight="1" x14ac:dyDescent="0.25">
      <c r="A36" s="236" t="s">
        <v>40</v>
      </c>
      <c r="B36" s="20" t="s">
        <v>199</v>
      </c>
      <c r="C36" s="19"/>
      <c r="D36" s="17"/>
      <c r="E36" s="18"/>
      <c r="F36" s="18"/>
      <c r="G36" s="56"/>
      <c r="H36" s="37" t="str">
        <f>IFERROR(VLOOKUP(E36,'Product Spec'!$O$1:$R$8,3,FALSE)," ")</f>
        <v xml:space="preserve"> </v>
      </c>
      <c r="I36" s="37" t="str">
        <f>IFERROR(C36*H36*P36," ")</f>
        <v xml:space="preserve"> </v>
      </c>
      <c r="J36" s="37" t="str">
        <f>IFERROR(VLOOKUP(E36,'Product Spec'!$O$1:$R$8,4,FALSE)," ")</f>
        <v xml:space="preserve"> </v>
      </c>
      <c r="K36" s="43" t="str">
        <f>IFERROR(C36*J36*P36," ")</f>
        <v xml:space="preserve"> </v>
      </c>
      <c r="P36" s="36">
        <f>IF(OR(D36=30,D36=45,D36=60),Q36,COS(R36))</f>
        <v>1</v>
      </c>
      <c r="Q36" s="36" t="e" cm="1">
        <f t="array" ref="Q36">_xlfn.IFS(D36=30,0.87,D36=45,0.7,D36=60,0.5)</f>
        <v>#N/A</v>
      </c>
      <c r="R36" s="36">
        <f>(PI()/180)*D36</f>
        <v>0</v>
      </c>
      <c r="S36" s="36" t="e">
        <f>H42/H43</f>
        <v>#VALUE!</v>
      </c>
      <c r="V36" s="36">
        <f xml:space="preserve"> C43*15</f>
        <v>0</v>
      </c>
    </row>
    <row r="37" spans="1:22" ht="15" customHeight="1" x14ac:dyDescent="0.25">
      <c r="A37" s="236"/>
      <c r="B37" s="20" t="s">
        <v>200</v>
      </c>
      <c r="C37" s="19"/>
      <c r="D37" s="17"/>
      <c r="E37" s="18"/>
      <c r="F37" s="18"/>
      <c r="G37" s="56"/>
      <c r="H37" s="37" t="str">
        <f>IFERROR(VLOOKUP(E37,'Product Spec'!$O$1:$R$8,3,FALSE)," ")</f>
        <v xml:space="preserve"> </v>
      </c>
      <c r="I37" s="37" t="str">
        <f t="shared" ref="I37:I41" si="8">IFERROR(C37*H37*P37," ")</f>
        <v xml:space="preserve"> </v>
      </c>
      <c r="J37" s="37" t="str">
        <f>IFERROR(VLOOKUP(E37,'Product Spec'!$O$1:$R$8,4,FALSE)," ")</f>
        <v xml:space="preserve"> </v>
      </c>
      <c r="K37" s="43" t="str">
        <f t="shared" ref="K37:K41" si="9">IFERROR(C37*J37*P37," ")</f>
        <v xml:space="preserve"> </v>
      </c>
      <c r="P37" s="36">
        <f t="shared" ref="P37:P41" si="10">IF(OR(D37=30,D37=45,D37=60),Q37,COS(R37))</f>
        <v>1</v>
      </c>
      <c r="Q37" s="36" t="e" cm="1">
        <f t="array" ref="Q37">_xlfn.IFS(D37=30,0.87,D37=45,0.7,D37=60,0.5)</f>
        <v>#N/A</v>
      </c>
      <c r="R37" s="36">
        <f t="shared" ref="R37:R41" si="11">(PI()/180)*D37</f>
        <v>0</v>
      </c>
      <c r="S37" s="36" t="e">
        <f>J42/J43</f>
        <v>#VALUE!</v>
      </c>
    </row>
    <row r="38" spans="1:22" ht="15" customHeight="1" x14ac:dyDescent="0.25">
      <c r="A38" s="236"/>
      <c r="B38" s="20" t="s">
        <v>201</v>
      </c>
      <c r="C38" s="19"/>
      <c r="D38" s="17"/>
      <c r="E38" s="18"/>
      <c r="F38" s="18"/>
      <c r="G38" s="56"/>
      <c r="H38" s="37" t="str">
        <f>IFERROR(VLOOKUP(E38,'Product Spec'!$O$1:$R$8,3,FALSE)," ")</f>
        <v xml:space="preserve"> </v>
      </c>
      <c r="I38" s="37" t="str">
        <f t="shared" si="8"/>
        <v xml:space="preserve"> </v>
      </c>
      <c r="J38" s="37" t="str">
        <f>IFERROR(VLOOKUP(E38,'Product Spec'!$O$1:$R$8,4,FALSE)," ")</f>
        <v xml:space="preserve"> </v>
      </c>
      <c r="K38" s="43" t="str">
        <f t="shared" si="9"/>
        <v xml:space="preserve"> </v>
      </c>
      <c r="P38" s="36">
        <f t="shared" si="10"/>
        <v>1</v>
      </c>
      <c r="Q38" s="36" t="e" cm="1">
        <f t="array" ref="Q38">_xlfn.IFS(D38=30,0.87,D38=45,0.7,D38=60,0.5)</f>
        <v>#N/A</v>
      </c>
      <c r="R38" s="36">
        <f t="shared" si="11"/>
        <v>0</v>
      </c>
    </row>
    <row r="39" spans="1:22" ht="15" customHeight="1" x14ac:dyDescent="0.25">
      <c r="A39" s="236"/>
      <c r="B39" s="20" t="s">
        <v>202</v>
      </c>
      <c r="C39" s="19"/>
      <c r="D39" s="17"/>
      <c r="E39" s="18"/>
      <c r="F39" s="18"/>
      <c r="G39" s="56"/>
      <c r="H39" s="37" t="str">
        <f>IFERROR(VLOOKUP(E39,'Product Spec'!$O$1:$R$8,3,FALSE)," ")</f>
        <v xml:space="preserve"> </v>
      </c>
      <c r="I39" s="37" t="str">
        <f t="shared" si="8"/>
        <v xml:space="preserve"> </v>
      </c>
      <c r="J39" s="37" t="str">
        <f>IFERROR(VLOOKUP(E39,'Product Spec'!$O$1:$R$8,4,FALSE)," ")</f>
        <v xml:space="preserve"> </v>
      </c>
      <c r="K39" s="43" t="str">
        <f t="shared" si="9"/>
        <v xml:space="preserve"> </v>
      </c>
      <c r="P39" s="36">
        <f t="shared" si="10"/>
        <v>1</v>
      </c>
      <c r="Q39" s="36" t="e" cm="1">
        <f t="array" ref="Q39">_xlfn.IFS(D39=30,0.87,D39=45,0.7,D39=60,0.5)</f>
        <v>#N/A</v>
      </c>
      <c r="R39" s="36">
        <f t="shared" si="11"/>
        <v>0</v>
      </c>
    </row>
    <row r="40" spans="1:22" ht="15" customHeight="1" x14ac:dyDescent="0.25">
      <c r="A40" s="236"/>
      <c r="B40" s="20" t="s">
        <v>203</v>
      </c>
      <c r="C40" s="19"/>
      <c r="D40" s="17"/>
      <c r="E40" s="18"/>
      <c r="F40" s="18"/>
      <c r="G40" s="56"/>
      <c r="H40" s="37" t="str">
        <f>IFERROR(VLOOKUP(E40,'Product Spec'!$O$1:$R$8,3,FALSE)," ")</f>
        <v xml:space="preserve"> </v>
      </c>
      <c r="I40" s="37" t="str">
        <f t="shared" si="8"/>
        <v xml:space="preserve"> </v>
      </c>
      <c r="J40" s="37" t="str">
        <f>IFERROR(VLOOKUP(E40,'Product Spec'!$O$1:$R$8,4,FALSE)," ")</f>
        <v xml:space="preserve"> </v>
      </c>
      <c r="K40" s="43" t="str">
        <f t="shared" si="9"/>
        <v xml:space="preserve"> </v>
      </c>
      <c r="P40" s="36">
        <f t="shared" si="10"/>
        <v>1</v>
      </c>
      <c r="Q40" s="36" t="e" cm="1">
        <f t="array" ref="Q40">_xlfn.IFS(D40=30,0.87,D40=45,0.7,D40=60,0.5)</f>
        <v>#N/A</v>
      </c>
      <c r="R40" s="36">
        <f t="shared" si="11"/>
        <v>0</v>
      </c>
    </row>
    <row r="41" spans="1:22" ht="15" customHeight="1" x14ac:dyDescent="0.25">
      <c r="A41" s="236"/>
      <c r="B41" s="20" t="s">
        <v>204</v>
      </c>
      <c r="C41" s="19"/>
      <c r="D41" s="17"/>
      <c r="E41" s="18"/>
      <c r="F41" s="18"/>
      <c r="G41" s="56"/>
      <c r="H41" s="37" t="str">
        <f>IFERROR(VLOOKUP(E41,'Product Spec'!$O$1:$R$8,3,FALSE)," ")</f>
        <v xml:space="preserve"> </v>
      </c>
      <c r="I41" s="37" t="str">
        <f t="shared" si="8"/>
        <v xml:space="preserve"> </v>
      </c>
      <c r="J41" s="37" t="str">
        <f>IFERROR(VLOOKUP(E41,'Product Spec'!$O$1:$R$8,4,FALSE)," ")</f>
        <v xml:space="preserve"> </v>
      </c>
      <c r="K41" s="43" t="str">
        <f t="shared" si="9"/>
        <v xml:space="preserve"> </v>
      </c>
      <c r="P41" s="36">
        <f t="shared" si="10"/>
        <v>1</v>
      </c>
      <c r="Q41" s="36" t="e" cm="1">
        <f t="array" ref="Q41">_xlfn.IFS(D41=30,0.87,D41=45,0.7,D41=60,0.5)</f>
        <v>#N/A</v>
      </c>
      <c r="R41" s="36">
        <f t="shared" si="11"/>
        <v>0</v>
      </c>
    </row>
    <row r="42" spans="1:22" ht="15" customHeight="1" x14ac:dyDescent="0.25">
      <c r="A42" s="236"/>
      <c r="B42" s="98" t="s">
        <v>170</v>
      </c>
      <c r="C42" s="99"/>
      <c r="D42" s="99"/>
      <c r="E42" s="99"/>
      <c r="F42" s="99"/>
      <c r="G42" s="100"/>
      <c r="H42" s="217" cm="1">
        <f t="array" ref="H42">IF(D8&lt;3,0,SUM(IFERROR(I36:I41,0)))</f>
        <v>0</v>
      </c>
      <c r="I42" s="217"/>
      <c r="J42" s="217" cm="1">
        <f t="array" ref="J42">IF(D8&lt;3,0,SUM(IFERROR(K36:K41,0)))</f>
        <v>0</v>
      </c>
      <c r="K42" s="218"/>
    </row>
    <row r="43" spans="1:22" ht="15" customHeight="1" x14ac:dyDescent="0.25">
      <c r="A43" s="44" t="s">
        <v>168</v>
      </c>
      <c r="B43" s="160"/>
      <c r="C43" s="161"/>
      <c r="D43" s="99" t="s">
        <v>166</v>
      </c>
      <c r="E43" s="99"/>
      <c r="F43" s="99"/>
      <c r="G43" s="100"/>
      <c r="H43" s="167" t="e">
        <f>MAX(100,(0.5*$D$3)/$D$8,V36)</f>
        <v>#VALUE!</v>
      </c>
      <c r="I43" s="167"/>
      <c r="J43" s="167" t="e">
        <f>MAX(100,(0.5*$I$3)/$D$8,V36)</f>
        <v>#VALUE!</v>
      </c>
      <c r="K43" s="226"/>
    </row>
    <row r="44" spans="1:22" s="49" customFormat="1" ht="15" customHeight="1" x14ac:dyDescent="0.25">
      <c r="A44" s="208" t="e">
        <f>IF(OR(S36&lt;1,S37&lt;1),"Warning: Doesn’t meet the minimum BU's requirement per line."," ")</f>
        <v>#VALUE!</v>
      </c>
      <c r="B44" s="209"/>
      <c r="C44" s="209"/>
      <c r="D44" s="209"/>
      <c r="E44" s="209"/>
      <c r="F44" s="209"/>
      <c r="G44" s="209"/>
      <c r="H44" s="209"/>
      <c r="I44" s="209"/>
      <c r="J44" s="209"/>
      <c r="K44" s="210"/>
      <c r="L44" s="51"/>
    </row>
    <row r="45" spans="1:22" s="49" customFormat="1" ht="15" customHeight="1" x14ac:dyDescent="0.25">
      <c r="A45" s="219"/>
      <c r="B45" s="220"/>
      <c r="C45" s="220"/>
      <c r="D45" s="220"/>
      <c r="E45" s="220"/>
      <c r="F45" s="220"/>
      <c r="G45" s="220"/>
      <c r="H45" s="220"/>
      <c r="I45" s="220"/>
      <c r="J45" s="220"/>
      <c r="K45" s="221"/>
      <c r="L45" s="51"/>
    </row>
    <row r="46" spans="1:22" ht="15" customHeight="1" x14ac:dyDescent="0.25">
      <c r="A46" s="42" t="s">
        <v>83</v>
      </c>
      <c r="B46" s="33" t="s">
        <v>198</v>
      </c>
      <c r="C46" s="34" t="s">
        <v>86</v>
      </c>
      <c r="D46" s="33" t="s">
        <v>87</v>
      </c>
      <c r="E46" s="33" t="s">
        <v>84</v>
      </c>
      <c r="F46" s="33" t="s">
        <v>85</v>
      </c>
      <c r="G46" s="56"/>
      <c r="H46" s="24" t="s">
        <v>165</v>
      </c>
      <c r="I46" s="24" t="s">
        <v>169</v>
      </c>
      <c r="J46" s="24" t="s">
        <v>165</v>
      </c>
      <c r="K46" s="41" t="s">
        <v>169</v>
      </c>
      <c r="V46" s="36" t="s">
        <v>164</v>
      </c>
    </row>
    <row r="47" spans="1:22" ht="15" customHeight="1" x14ac:dyDescent="0.25">
      <c r="A47" s="236" t="s">
        <v>41</v>
      </c>
      <c r="B47" s="20" t="s">
        <v>199</v>
      </c>
      <c r="C47" s="19"/>
      <c r="D47" s="17"/>
      <c r="E47" s="18"/>
      <c r="F47" s="18"/>
      <c r="G47" s="56"/>
      <c r="H47" s="37" t="str">
        <f>IFERROR(VLOOKUP(E47,'Product Spec'!$O$1:$R$8,3,FALSE)," ")</f>
        <v xml:space="preserve"> </v>
      </c>
      <c r="I47" s="37" t="str">
        <f>IFERROR(C47*H47*P47," ")</f>
        <v xml:space="preserve"> </v>
      </c>
      <c r="J47" s="37" t="str">
        <f>IFERROR(VLOOKUP(E47,'Product Spec'!$O$1:$R$8,4,FALSE)," ")</f>
        <v xml:space="preserve"> </v>
      </c>
      <c r="K47" s="43" t="str">
        <f>IFERROR(C47*J47*P47," ")</f>
        <v xml:space="preserve"> </v>
      </c>
      <c r="P47" s="36">
        <f>IF(OR(D47=30,D47=45,D47=60),Q47,COS(R47))</f>
        <v>1</v>
      </c>
      <c r="Q47" s="36" t="e" cm="1">
        <f t="array" ref="Q47">_xlfn.IFS(D47=30,0.87,D47=45,0.7,D47=60,0.5)</f>
        <v>#N/A</v>
      </c>
      <c r="R47" s="36">
        <f>(PI()/180)*D47</f>
        <v>0</v>
      </c>
      <c r="S47" s="36" t="e">
        <f>H53/H54</f>
        <v>#VALUE!</v>
      </c>
      <c r="V47" s="36">
        <f xml:space="preserve"> C54*15</f>
        <v>0</v>
      </c>
    </row>
    <row r="48" spans="1:22" ht="15" customHeight="1" x14ac:dyDescent="0.25">
      <c r="A48" s="236"/>
      <c r="B48" s="20" t="s">
        <v>200</v>
      </c>
      <c r="C48" s="19"/>
      <c r="D48" s="17"/>
      <c r="E48" s="18"/>
      <c r="F48" s="18"/>
      <c r="G48" s="56"/>
      <c r="H48" s="37" t="str">
        <f>IFERROR(VLOOKUP(E48,'Product Spec'!$O$1:$R$8,3,FALSE)," ")</f>
        <v xml:space="preserve"> </v>
      </c>
      <c r="I48" s="37" t="str">
        <f t="shared" ref="I48:I52" si="12">IFERROR(C48*H48*P48," ")</f>
        <v xml:space="preserve"> </v>
      </c>
      <c r="J48" s="37" t="str">
        <f>IFERROR(VLOOKUP(E48,'Product Spec'!$O$1:$R$8,4,FALSE)," ")</f>
        <v xml:space="preserve"> </v>
      </c>
      <c r="K48" s="43" t="str">
        <f t="shared" ref="K48:K52" si="13">IFERROR(C48*J48*P48," ")</f>
        <v xml:space="preserve"> </v>
      </c>
      <c r="P48" s="36">
        <f t="shared" ref="P48:P52" si="14">IF(OR(D48=30,D48=45,D48=60),Q48,COS(R48))</f>
        <v>1</v>
      </c>
      <c r="Q48" s="36" t="e" cm="1">
        <f t="array" ref="Q48">_xlfn.IFS(D48=30,0.87,D48=45,0.7,D48=60,0.5)</f>
        <v>#N/A</v>
      </c>
      <c r="R48" s="36">
        <f t="shared" ref="R48:R52" si="15">(PI()/180)*D48</f>
        <v>0</v>
      </c>
      <c r="S48" s="36" t="e">
        <f>J53/J54</f>
        <v>#VALUE!</v>
      </c>
    </row>
    <row r="49" spans="1:22" ht="15" customHeight="1" x14ac:dyDescent="0.25">
      <c r="A49" s="236"/>
      <c r="B49" s="20" t="s">
        <v>201</v>
      </c>
      <c r="C49" s="19"/>
      <c r="D49" s="17"/>
      <c r="E49" s="18"/>
      <c r="F49" s="18"/>
      <c r="G49" s="56"/>
      <c r="H49" s="37" t="str">
        <f>IFERROR(VLOOKUP(E49,'Product Spec'!$O$1:$R$8,3,FALSE)," ")</f>
        <v xml:space="preserve"> </v>
      </c>
      <c r="I49" s="37" t="str">
        <f t="shared" si="12"/>
        <v xml:space="preserve"> </v>
      </c>
      <c r="J49" s="37" t="str">
        <f>IFERROR(VLOOKUP(E49,'Product Spec'!$O$1:$R$8,4,FALSE)," ")</f>
        <v xml:space="preserve"> </v>
      </c>
      <c r="K49" s="43" t="str">
        <f t="shared" si="13"/>
        <v xml:space="preserve"> </v>
      </c>
      <c r="P49" s="36">
        <f t="shared" si="14"/>
        <v>1</v>
      </c>
      <c r="Q49" s="36" t="e" cm="1">
        <f t="array" ref="Q49">_xlfn.IFS(D49=30,0.87,D49=45,0.7,D49=60,0.5)</f>
        <v>#N/A</v>
      </c>
      <c r="R49" s="36">
        <f t="shared" si="15"/>
        <v>0</v>
      </c>
    </row>
    <row r="50" spans="1:22" ht="15" customHeight="1" x14ac:dyDescent="0.25">
      <c r="A50" s="236"/>
      <c r="B50" s="20" t="s">
        <v>202</v>
      </c>
      <c r="C50" s="19"/>
      <c r="D50" s="17"/>
      <c r="E50" s="18"/>
      <c r="F50" s="18"/>
      <c r="G50" s="56"/>
      <c r="H50" s="37" t="str">
        <f>IFERROR(VLOOKUP(E50,'Product Spec'!$O$1:$R$8,3,FALSE)," ")</f>
        <v xml:space="preserve"> </v>
      </c>
      <c r="I50" s="37" t="str">
        <f t="shared" si="12"/>
        <v xml:space="preserve"> </v>
      </c>
      <c r="J50" s="37" t="str">
        <f>IFERROR(VLOOKUP(E50,'Product Spec'!$O$1:$R$8,4,FALSE)," ")</f>
        <v xml:space="preserve"> </v>
      </c>
      <c r="K50" s="43" t="str">
        <f t="shared" si="13"/>
        <v xml:space="preserve"> </v>
      </c>
      <c r="P50" s="36">
        <f t="shared" si="14"/>
        <v>1</v>
      </c>
      <c r="Q50" s="36" t="e" cm="1">
        <f t="array" ref="Q50">_xlfn.IFS(D50=30,0.87,D50=45,0.7,D50=60,0.5)</f>
        <v>#N/A</v>
      </c>
      <c r="R50" s="36">
        <f t="shared" si="15"/>
        <v>0</v>
      </c>
    </row>
    <row r="51" spans="1:22" ht="15" customHeight="1" x14ac:dyDescent="0.25">
      <c r="A51" s="236"/>
      <c r="B51" s="20" t="s">
        <v>203</v>
      </c>
      <c r="C51" s="19"/>
      <c r="D51" s="17"/>
      <c r="E51" s="18"/>
      <c r="F51" s="18"/>
      <c r="G51" s="56"/>
      <c r="H51" s="37" t="str">
        <f>IFERROR(VLOOKUP(E51,'Product Spec'!$O$1:$R$8,3,FALSE)," ")</f>
        <v xml:space="preserve"> </v>
      </c>
      <c r="I51" s="37" t="str">
        <f t="shared" si="12"/>
        <v xml:space="preserve"> </v>
      </c>
      <c r="J51" s="37" t="str">
        <f>IFERROR(VLOOKUP(E51,'Product Spec'!$O$1:$R$8,4,FALSE)," ")</f>
        <v xml:space="preserve"> </v>
      </c>
      <c r="K51" s="43" t="str">
        <f t="shared" si="13"/>
        <v xml:space="preserve"> </v>
      </c>
      <c r="P51" s="36">
        <f t="shared" si="14"/>
        <v>1</v>
      </c>
      <c r="Q51" s="36" t="e" cm="1">
        <f t="array" ref="Q51">_xlfn.IFS(D51=30,0.87,D51=45,0.7,D51=60,0.5)</f>
        <v>#N/A</v>
      </c>
      <c r="R51" s="36">
        <f t="shared" si="15"/>
        <v>0</v>
      </c>
    </row>
    <row r="52" spans="1:22" ht="15" customHeight="1" x14ac:dyDescent="0.25">
      <c r="A52" s="236"/>
      <c r="B52" s="20" t="s">
        <v>204</v>
      </c>
      <c r="C52" s="19"/>
      <c r="D52" s="17"/>
      <c r="E52" s="18"/>
      <c r="F52" s="18"/>
      <c r="G52" s="56"/>
      <c r="H52" s="37" t="str">
        <f>IFERROR(VLOOKUP(E52,'Product Spec'!$O$1:$R$8,3,FALSE)," ")</f>
        <v xml:space="preserve"> </v>
      </c>
      <c r="I52" s="37" t="str">
        <f t="shared" si="12"/>
        <v xml:space="preserve"> </v>
      </c>
      <c r="J52" s="37" t="str">
        <f>IFERROR(VLOOKUP(E52,'Product Spec'!$O$1:$R$8,4,FALSE)," ")</f>
        <v xml:space="preserve"> </v>
      </c>
      <c r="K52" s="43" t="str">
        <f t="shared" si="13"/>
        <v xml:space="preserve"> </v>
      </c>
      <c r="P52" s="36">
        <f t="shared" si="14"/>
        <v>1</v>
      </c>
      <c r="Q52" s="36" t="e" cm="1">
        <f t="array" ref="Q52">_xlfn.IFS(D52=30,0.87,D52=45,0.7,D52=60,0.5)</f>
        <v>#N/A</v>
      </c>
      <c r="R52" s="36">
        <f t="shared" si="15"/>
        <v>0</v>
      </c>
    </row>
    <row r="53" spans="1:22" ht="15" customHeight="1" x14ac:dyDescent="0.25">
      <c r="A53" s="236"/>
      <c r="B53" s="98" t="s">
        <v>170</v>
      </c>
      <c r="C53" s="99"/>
      <c r="D53" s="99"/>
      <c r="E53" s="99"/>
      <c r="F53" s="99"/>
      <c r="G53" s="100"/>
      <c r="H53" s="217" cm="1">
        <f t="array" ref="H53">IF(D8&lt;4,0,SUM(IFERROR(I47:I52,0)))</f>
        <v>0</v>
      </c>
      <c r="I53" s="217"/>
      <c r="J53" s="217" cm="1">
        <f t="array" ref="J53">IF(D8&lt;4,0,SUM(IFERROR(K47:K52,0)))</f>
        <v>0</v>
      </c>
      <c r="K53" s="218"/>
    </row>
    <row r="54" spans="1:22" ht="15" customHeight="1" x14ac:dyDescent="0.25">
      <c r="A54" s="44" t="s">
        <v>168</v>
      </c>
      <c r="B54" s="160"/>
      <c r="C54" s="161"/>
      <c r="D54" s="99" t="s">
        <v>166</v>
      </c>
      <c r="E54" s="99"/>
      <c r="F54" s="99"/>
      <c r="G54" s="100"/>
      <c r="H54" s="167" t="e">
        <f>MAX(100,(0.5*$D$3)/$D$8,V47)</f>
        <v>#VALUE!</v>
      </c>
      <c r="I54" s="167"/>
      <c r="J54" s="167" t="e">
        <f>MAX(100,(0.5*$I$3)/$D$8,V47)</f>
        <v>#VALUE!</v>
      </c>
      <c r="K54" s="226"/>
    </row>
    <row r="55" spans="1:22" s="49" customFormat="1" ht="15" customHeight="1" x14ac:dyDescent="0.25">
      <c r="A55" s="208" t="e">
        <f>IF(OR(S47&lt;1,S48&lt;1),"Warning: Doesn’t meet the minimum BU's requirement per line."," ")</f>
        <v>#VALUE!</v>
      </c>
      <c r="B55" s="209"/>
      <c r="C55" s="209"/>
      <c r="D55" s="209"/>
      <c r="E55" s="209"/>
      <c r="F55" s="209"/>
      <c r="G55" s="209"/>
      <c r="H55" s="209"/>
      <c r="I55" s="209"/>
      <c r="J55" s="209"/>
      <c r="K55" s="210"/>
      <c r="L55" s="51"/>
    </row>
    <row r="56" spans="1:22" ht="15" customHeight="1" x14ac:dyDescent="0.25">
      <c r="A56" s="214"/>
      <c r="B56" s="215"/>
      <c r="C56" s="215"/>
      <c r="D56" s="215"/>
      <c r="E56" s="215"/>
      <c r="F56" s="215"/>
      <c r="G56" s="215"/>
      <c r="H56" s="215"/>
      <c r="I56" s="215"/>
      <c r="J56" s="215"/>
      <c r="K56" s="216"/>
      <c r="M56" s="49"/>
      <c r="N56" s="49"/>
      <c r="O56" s="49"/>
      <c r="P56" s="49"/>
      <c r="Q56" s="49"/>
      <c r="R56" s="49"/>
      <c r="S56" s="49"/>
      <c r="T56" s="49"/>
      <c r="U56" s="49"/>
      <c r="V56" s="49"/>
    </row>
    <row r="57" spans="1:22" ht="15" customHeight="1" x14ac:dyDescent="0.25">
      <c r="A57" s="42" t="s">
        <v>83</v>
      </c>
      <c r="B57" s="33" t="s">
        <v>198</v>
      </c>
      <c r="C57" s="34" t="s">
        <v>86</v>
      </c>
      <c r="D57" s="33" t="s">
        <v>87</v>
      </c>
      <c r="E57" s="33" t="s">
        <v>84</v>
      </c>
      <c r="F57" s="33" t="s">
        <v>85</v>
      </c>
      <c r="G57" s="56"/>
      <c r="H57" s="24" t="s">
        <v>165</v>
      </c>
      <c r="I57" s="24" t="s">
        <v>169</v>
      </c>
      <c r="J57" s="24" t="s">
        <v>165</v>
      </c>
      <c r="K57" s="41" t="s">
        <v>169</v>
      </c>
      <c r="V57" s="36" t="s">
        <v>164</v>
      </c>
    </row>
    <row r="58" spans="1:22" ht="15" customHeight="1" x14ac:dyDescent="0.25">
      <c r="A58" s="236" t="s">
        <v>42</v>
      </c>
      <c r="B58" s="20" t="s">
        <v>199</v>
      </c>
      <c r="C58" s="19"/>
      <c r="D58" s="17"/>
      <c r="E58" s="18"/>
      <c r="F58" s="18"/>
      <c r="G58" s="56"/>
      <c r="H58" s="37" t="str">
        <f>IFERROR(VLOOKUP(E58,'Product Spec'!$O$1:$R$8,3,FALSE)," ")</f>
        <v xml:space="preserve"> </v>
      </c>
      <c r="I58" s="37" t="str">
        <f>IFERROR(C58*H58*P58," ")</f>
        <v xml:space="preserve"> </v>
      </c>
      <c r="J58" s="37" t="str">
        <f>IFERROR(VLOOKUP(E58,'Product Spec'!$O$1:$R$8,4,FALSE)," ")</f>
        <v xml:space="preserve"> </v>
      </c>
      <c r="K58" s="43" t="str">
        <f>IFERROR(C58*J58*P58," ")</f>
        <v xml:space="preserve"> </v>
      </c>
      <c r="P58" s="36">
        <f>IF(OR(D58=30,D58=45,D58=60),Q58,COS(R58))</f>
        <v>1</v>
      </c>
      <c r="Q58" s="36" t="e" cm="1">
        <f t="array" ref="Q58">_xlfn.IFS(D58=30,0.87,D58=45,0.7,D58=60,0.5)</f>
        <v>#N/A</v>
      </c>
      <c r="R58" s="36">
        <f>(PI()/180)*D58</f>
        <v>0</v>
      </c>
      <c r="S58" s="36" t="e">
        <f>H64/H65</f>
        <v>#VALUE!</v>
      </c>
      <c r="V58" s="36">
        <f xml:space="preserve"> C65*15</f>
        <v>0</v>
      </c>
    </row>
    <row r="59" spans="1:22" ht="15" customHeight="1" x14ac:dyDescent="0.25">
      <c r="A59" s="236"/>
      <c r="B59" s="20" t="s">
        <v>200</v>
      </c>
      <c r="C59" s="19"/>
      <c r="D59" s="17"/>
      <c r="E59" s="18"/>
      <c r="F59" s="18"/>
      <c r="G59" s="56"/>
      <c r="H59" s="37" t="str">
        <f>IFERROR(VLOOKUP(E59,'Product Spec'!$O$1:$R$8,3,FALSE)," ")</f>
        <v xml:space="preserve"> </v>
      </c>
      <c r="I59" s="37" t="str">
        <f t="shared" ref="I59:I63" si="16">IFERROR(C59*H59*P59," ")</f>
        <v xml:space="preserve"> </v>
      </c>
      <c r="J59" s="37" t="str">
        <f>IFERROR(VLOOKUP(E59,'Product Spec'!$O$1:$R$8,4,FALSE)," ")</f>
        <v xml:space="preserve"> </v>
      </c>
      <c r="K59" s="43" t="str">
        <f t="shared" ref="K59:K63" si="17">IFERROR(C59*J59*P59," ")</f>
        <v xml:space="preserve"> </v>
      </c>
      <c r="P59" s="36">
        <f t="shared" ref="P59:P63" si="18">IF(OR(D59=30,D59=45,D59=60),Q59,COS(R59))</f>
        <v>1</v>
      </c>
      <c r="Q59" s="36" t="e" cm="1">
        <f t="array" ref="Q59">_xlfn.IFS(D59=30,0.87,D59=45,0.7,D59=60,0.5)</f>
        <v>#N/A</v>
      </c>
      <c r="R59" s="36">
        <f t="shared" ref="R59:R63" si="19">(PI()/180)*D59</f>
        <v>0</v>
      </c>
      <c r="S59" s="36" t="e">
        <f>J64/J65</f>
        <v>#VALUE!</v>
      </c>
    </row>
    <row r="60" spans="1:22" ht="15" customHeight="1" x14ac:dyDescent="0.25">
      <c r="A60" s="236"/>
      <c r="B60" s="20" t="s">
        <v>201</v>
      </c>
      <c r="C60" s="19"/>
      <c r="D60" s="17"/>
      <c r="E60" s="18"/>
      <c r="F60" s="18"/>
      <c r="G60" s="56"/>
      <c r="H60" s="37" t="str">
        <f>IFERROR(VLOOKUP(E60,'Product Spec'!$O$1:$R$8,3,FALSE)," ")</f>
        <v xml:space="preserve"> </v>
      </c>
      <c r="I60" s="37" t="str">
        <f t="shared" si="16"/>
        <v xml:space="preserve"> </v>
      </c>
      <c r="J60" s="37" t="str">
        <f>IFERROR(VLOOKUP(E60,'Product Spec'!$O$1:$R$8,4,FALSE)," ")</f>
        <v xml:space="preserve"> </v>
      </c>
      <c r="K60" s="43" t="str">
        <f t="shared" si="17"/>
        <v xml:space="preserve"> </v>
      </c>
      <c r="P60" s="36">
        <f t="shared" si="18"/>
        <v>1</v>
      </c>
      <c r="Q60" s="36" t="e" cm="1">
        <f t="array" ref="Q60">_xlfn.IFS(D60=30,0.87,D60=45,0.7,D60=60,0.5)</f>
        <v>#N/A</v>
      </c>
      <c r="R60" s="36">
        <f t="shared" si="19"/>
        <v>0</v>
      </c>
    </row>
    <row r="61" spans="1:22" ht="15" customHeight="1" x14ac:dyDescent="0.25">
      <c r="A61" s="236"/>
      <c r="B61" s="20" t="s">
        <v>202</v>
      </c>
      <c r="C61" s="19"/>
      <c r="D61" s="17"/>
      <c r="E61" s="18"/>
      <c r="F61" s="18"/>
      <c r="G61" s="56"/>
      <c r="H61" s="37" t="str">
        <f>IFERROR(VLOOKUP(E61,'Product Spec'!$O$1:$R$8,3,FALSE)," ")</f>
        <v xml:space="preserve"> </v>
      </c>
      <c r="I61" s="37" t="str">
        <f t="shared" si="16"/>
        <v xml:space="preserve"> </v>
      </c>
      <c r="J61" s="37" t="str">
        <f>IFERROR(VLOOKUP(E61,'Product Spec'!$O$1:$R$8,4,FALSE)," ")</f>
        <v xml:space="preserve"> </v>
      </c>
      <c r="K61" s="43" t="str">
        <f t="shared" si="17"/>
        <v xml:space="preserve"> </v>
      </c>
      <c r="P61" s="36">
        <f t="shared" si="18"/>
        <v>1</v>
      </c>
      <c r="Q61" s="36" t="e" cm="1">
        <f t="array" ref="Q61">_xlfn.IFS(D61=30,0.87,D61=45,0.7,D61=60,0.5)</f>
        <v>#N/A</v>
      </c>
      <c r="R61" s="36">
        <f t="shared" si="19"/>
        <v>0</v>
      </c>
    </row>
    <row r="62" spans="1:22" ht="15" customHeight="1" x14ac:dyDescent="0.25">
      <c r="A62" s="236"/>
      <c r="B62" s="20" t="s">
        <v>203</v>
      </c>
      <c r="C62" s="19"/>
      <c r="D62" s="17"/>
      <c r="E62" s="18"/>
      <c r="F62" s="18"/>
      <c r="G62" s="56"/>
      <c r="H62" s="37" t="str">
        <f>IFERROR(VLOOKUP(E62,'Product Spec'!$O$1:$R$8,3,FALSE)," ")</f>
        <v xml:space="preserve"> </v>
      </c>
      <c r="I62" s="37" t="str">
        <f t="shared" si="16"/>
        <v xml:space="preserve"> </v>
      </c>
      <c r="J62" s="37" t="str">
        <f>IFERROR(VLOOKUP(E62,'Product Spec'!$O$1:$R$8,4,FALSE)," ")</f>
        <v xml:space="preserve"> </v>
      </c>
      <c r="K62" s="43" t="str">
        <f t="shared" si="17"/>
        <v xml:space="preserve"> </v>
      </c>
      <c r="P62" s="36">
        <f t="shared" si="18"/>
        <v>1</v>
      </c>
      <c r="Q62" s="36" t="e" cm="1">
        <f t="array" ref="Q62">_xlfn.IFS(D62=30,0.87,D62=45,0.7,D62=60,0.5)</f>
        <v>#N/A</v>
      </c>
      <c r="R62" s="36">
        <f t="shared" si="19"/>
        <v>0</v>
      </c>
    </row>
    <row r="63" spans="1:22" ht="15" customHeight="1" x14ac:dyDescent="0.25">
      <c r="A63" s="236"/>
      <c r="B63" s="20" t="s">
        <v>204</v>
      </c>
      <c r="C63" s="19"/>
      <c r="D63" s="17"/>
      <c r="E63" s="18"/>
      <c r="F63" s="18"/>
      <c r="G63" s="56"/>
      <c r="H63" s="37" t="str">
        <f>IFERROR(VLOOKUP(E63,'Product Spec'!$O$1:$R$8,3,FALSE)," ")</f>
        <v xml:space="preserve"> </v>
      </c>
      <c r="I63" s="37" t="str">
        <f t="shared" si="16"/>
        <v xml:space="preserve"> </v>
      </c>
      <c r="J63" s="37" t="str">
        <f>IFERROR(VLOOKUP(E63,'Product Spec'!$O$1:$R$8,4,FALSE)," ")</f>
        <v xml:space="preserve"> </v>
      </c>
      <c r="K63" s="43" t="str">
        <f t="shared" si="17"/>
        <v xml:space="preserve"> </v>
      </c>
      <c r="P63" s="36">
        <f t="shared" si="18"/>
        <v>1</v>
      </c>
      <c r="Q63" s="36" t="e" cm="1">
        <f t="array" ref="Q63">_xlfn.IFS(D63=30,0.87,D63=45,0.7,D63=60,0.5)</f>
        <v>#N/A</v>
      </c>
      <c r="R63" s="36">
        <f t="shared" si="19"/>
        <v>0</v>
      </c>
    </row>
    <row r="64" spans="1:22" ht="15" customHeight="1" x14ac:dyDescent="0.25">
      <c r="A64" s="236"/>
      <c r="B64" s="98" t="s">
        <v>170</v>
      </c>
      <c r="C64" s="99"/>
      <c r="D64" s="99"/>
      <c r="E64" s="99"/>
      <c r="F64" s="99"/>
      <c r="G64" s="100"/>
      <c r="H64" s="217" cm="1">
        <f t="array" ref="H64">IF(D8&lt;5,0,SUM(IFERROR(I58:I63,0)))</f>
        <v>0</v>
      </c>
      <c r="I64" s="217"/>
      <c r="J64" s="217" cm="1">
        <f t="array" ref="J64">IF(D8&lt;5,0,SUM(IFERROR(K58:K63,0)))</f>
        <v>0</v>
      </c>
      <c r="K64" s="218"/>
    </row>
    <row r="65" spans="1:22" ht="15" customHeight="1" x14ac:dyDescent="0.25">
      <c r="A65" s="44" t="s">
        <v>168</v>
      </c>
      <c r="B65" s="160"/>
      <c r="C65" s="161"/>
      <c r="D65" s="99" t="s">
        <v>166</v>
      </c>
      <c r="E65" s="99"/>
      <c r="F65" s="99"/>
      <c r="G65" s="100"/>
      <c r="H65" s="167" t="e">
        <f>MAX(100,(0.5*$D$3)/$D$8,V58)</f>
        <v>#VALUE!</v>
      </c>
      <c r="I65" s="167"/>
      <c r="J65" s="167" t="e">
        <f>MAX(100,(0.5*$I$3)/$D$8,V58)</f>
        <v>#VALUE!</v>
      </c>
      <c r="K65" s="226"/>
    </row>
    <row r="66" spans="1:22" s="49" customFormat="1" ht="15" customHeight="1" x14ac:dyDescent="0.25">
      <c r="A66" s="208" t="e">
        <f>IF(OR(S58&lt;1,S59&lt;1),"Warning: Doesn’t meet the minimum BU's requirement per line."," ")</f>
        <v>#VALUE!</v>
      </c>
      <c r="B66" s="209"/>
      <c r="C66" s="209"/>
      <c r="D66" s="209"/>
      <c r="E66" s="209"/>
      <c r="F66" s="209"/>
      <c r="G66" s="209"/>
      <c r="H66" s="209"/>
      <c r="I66" s="209"/>
      <c r="J66" s="209"/>
      <c r="K66" s="210"/>
      <c r="L66" s="51"/>
    </row>
    <row r="67" spans="1:22" ht="15" customHeight="1" x14ac:dyDescent="0.25">
      <c r="A67" s="214"/>
      <c r="B67" s="215"/>
      <c r="C67" s="215"/>
      <c r="D67" s="215"/>
      <c r="E67" s="215"/>
      <c r="F67" s="215"/>
      <c r="G67" s="215"/>
      <c r="H67" s="215"/>
      <c r="I67" s="215"/>
      <c r="J67" s="215"/>
      <c r="K67" s="216"/>
      <c r="M67" s="49"/>
      <c r="N67" s="49"/>
      <c r="O67" s="49"/>
      <c r="P67" s="49"/>
      <c r="Q67" s="49"/>
      <c r="R67" s="49"/>
      <c r="S67" s="49"/>
      <c r="T67" s="49"/>
      <c r="U67" s="49"/>
      <c r="V67" s="49"/>
    </row>
    <row r="68" spans="1:22" ht="15" customHeight="1" x14ac:dyDescent="0.25">
      <c r="A68" s="42" t="s">
        <v>83</v>
      </c>
      <c r="B68" s="33" t="s">
        <v>198</v>
      </c>
      <c r="C68" s="34" t="s">
        <v>86</v>
      </c>
      <c r="D68" s="33" t="s">
        <v>87</v>
      </c>
      <c r="E68" s="33" t="s">
        <v>84</v>
      </c>
      <c r="F68" s="33" t="s">
        <v>85</v>
      </c>
      <c r="G68" s="56"/>
      <c r="H68" s="24" t="s">
        <v>165</v>
      </c>
      <c r="I68" s="24" t="s">
        <v>169</v>
      </c>
      <c r="J68" s="24" t="s">
        <v>165</v>
      </c>
      <c r="K68" s="41" t="s">
        <v>169</v>
      </c>
      <c r="V68" s="36" t="s">
        <v>164</v>
      </c>
    </row>
    <row r="69" spans="1:22" ht="15" customHeight="1" x14ac:dyDescent="0.25">
      <c r="A69" s="236" t="s">
        <v>112</v>
      </c>
      <c r="B69" s="20" t="s">
        <v>199</v>
      </c>
      <c r="C69" s="19"/>
      <c r="D69" s="17"/>
      <c r="E69" s="18"/>
      <c r="F69" s="18"/>
      <c r="G69" s="56"/>
      <c r="H69" s="37" t="str">
        <f>IFERROR(VLOOKUP(E69,'Product Spec'!$O$1:$R$8,3,FALSE)," ")</f>
        <v xml:space="preserve"> </v>
      </c>
      <c r="I69" s="37" t="str">
        <f>IFERROR(C69*H69*P69," ")</f>
        <v xml:space="preserve"> </v>
      </c>
      <c r="J69" s="37" t="str">
        <f>IFERROR(VLOOKUP(E69,'Product Spec'!$O$1:$R$8,4,FALSE)," ")</f>
        <v xml:space="preserve"> </v>
      </c>
      <c r="K69" s="43" t="str">
        <f>IFERROR(C69*J69*P69," ")</f>
        <v xml:space="preserve"> </v>
      </c>
      <c r="P69" s="36">
        <f>IF(OR(D69=30,D69=45,D69=60),Q69,COS(R69))</f>
        <v>1</v>
      </c>
      <c r="Q69" s="36" t="e" cm="1">
        <f t="array" ref="Q69">_xlfn.IFS(D69=30,0.87,D69=45,0.7,D69=60,0.5)</f>
        <v>#N/A</v>
      </c>
      <c r="R69" s="36">
        <f>(PI()/180)*D69</f>
        <v>0</v>
      </c>
      <c r="S69" s="36" t="e">
        <f>H75/H76</f>
        <v>#VALUE!</v>
      </c>
      <c r="V69" s="36">
        <f xml:space="preserve"> C76*15</f>
        <v>0</v>
      </c>
    </row>
    <row r="70" spans="1:22" ht="15" customHeight="1" x14ac:dyDescent="0.25">
      <c r="A70" s="236"/>
      <c r="B70" s="20" t="s">
        <v>200</v>
      </c>
      <c r="C70" s="19"/>
      <c r="D70" s="17"/>
      <c r="E70" s="18"/>
      <c r="F70" s="18"/>
      <c r="G70" s="56"/>
      <c r="H70" s="37" t="str">
        <f>IFERROR(VLOOKUP(E70,'Product Spec'!$O$1:$R$8,3,FALSE)," ")</f>
        <v xml:space="preserve"> </v>
      </c>
      <c r="I70" s="37" t="str">
        <f t="shared" ref="I70:I74" si="20">IFERROR(C70*H70*P70," ")</f>
        <v xml:space="preserve"> </v>
      </c>
      <c r="J70" s="37" t="str">
        <f>IFERROR(VLOOKUP(E70,'Product Spec'!$O$1:$R$8,4,FALSE)," ")</f>
        <v xml:space="preserve"> </v>
      </c>
      <c r="K70" s="43" t="str">
        <f t="shared" ref="K70:K74" si="21">IFERROR(C70*J70*P70," ")</f>
        <v xml:space="preserve"> </v>
      </c>
      <c r="P70" s="36">
        <f t="shared" ref="P70:P74" si="22">IF(OR(D70=30,D70=45,D70=60),Q70,COS(R70))</f>
        <v>1</v>
      </c>
      <c r="Q70" s="36" t="e" cm="1">
        <f t="array" ref="Q70">_xlfn.IFS(D70=30,0.87,D70=45,0.7,D70=60,0.5)</f>
        <v>#N/A</v>
      </c>
      <c r="R70" s="36">
        <f t="shared" ref="R70:R74" si="23">(PI()/180)*D70</f>
        <v>0</v>
      </c>
      <c r="S70" s="36" t="e">
        <f>J75/J76</f>
        <v>#VALUE!</v>
      </c>
    </row>
    <row r="71" spans="1:22" ht="15" customHeight="1" x14ac:dyDescent="0.25">
      <c r="A71" s="236"/>
      <c r="B71" s="20" t="s">
        <v>201</v>
      </c>
      <c r="C71" s="19"/>
      <c r="D71" s="17"/>
      <c r="E71" s="18"/>
      <c r="F71" s="18"/>
      <c r="G71" s="56"/>
      <c r="H71" s="37" t="str">
        <f>IFERROR(VLOOKUP(E71,'Product Spec'!$O$1:$R$8,3,FALSE)," ")</f>
        <v xml:space="preserve"> </v>
      </c>
      <c r="I71" s="37" t="str">
        <f t="shared" si="20"/>
        <v xml:space="preserve"> </v>
      </c>
      <c r="J71" s="37" t="str">
        <f>IFERROR(VLOOKUP(E71,'Product Spec'!$O$1:$R$8,4,FALSE)," ")</f>
        <v xml:space="preserve"> </v>
      </c>
      <c r="K71" s="43" t="str">
        <f t="shared" si="21"/>
        <v xml:space="preserve"> </v>
      </c>
      <c r="P71" s="36">
        <f t="shared" si="22"/>
        <v>1</v>
      </c>
      <c r="Q71" s="36" t="e" cm="1">
        <f t="array" ref="Q71">_xlfn.IFS(D71=30,0.87,D71=45,0.7,D71=60,0.5)</f>
        <v>#N/A</v>
      </c>
      <c r="R71" s="36">
        <f t="shared" si="23"/>
        <v>0</v>
      </c>
    </row>
    <row r="72" spans="1:22" ht="15" customHeight="1" x14ac:dyDescent="0.25">
      <c r="A72" s="236"/>
      <c r="B72" s="20" t="s">
        <v>202</v>
      </c>
      <c r="C72" s="19"/>
      <c r="D72" s="17"/>
      <c r="E72" s="18"/>
      <c r="F72" s="18"/>
      <c r="G72" s="56"/>
      <c r="H72" s="37" t="str">
        <f>IFERROR(VLOOKUP(E72,'Product Spec'!$O$1:$R$8,3,FALSE)," ")</f>
        <v xml:space="preserve"> </v>
      </c>
      <c r="I72" s="37" t="str">
        <f t="shared" si="20"/>
        <v xml:space="preserve"> </v>
      </c>
      <c r="J72" s="37" t="str">
        <f>IFERROR(VLOOKUP(E72,'Product Spec'!$O$1:$R$8,4,FALSE)," ")</f>
        <v xml:space="preserve"> </v>
      </c>
      <c r="K72" s="43" t="str">
        <f t="shared" si="21"/>
        <v xml:space="preserve"> </v>
      </c>
      <c r="P72" s="36">
        <f t="shared" si="22"/>
        <v>1</v>
      </c>
      <c r="Q72" s="36" t="e" cm="1">
        <f t="array" ref="Q72">_xlfn.IFS(D72=30,0.87,D72=45,0.7,D72=60,0.5)</f>
        <v>#N/A</v>
      </c>
      <c r="R72" s="36">
        <f t="shared" si="23"/>
        <v>0</v>
      </c>
    </row>
    <row r="73" spans="1:22" ht="15" customHeight="1" x14ac:dyDescent="0.25">
      <c r="A73" s="236"/>
      <c r="B73" s="20" t="s">
        <v>203</v>
      </c>
      <c r="C73" s="19"/>
      <c r="D73" s="17"/>
      <c r="E73" s="18"/>
      <c r="F73" s="18"/>
      <c r="G73" s="56"/>
      <c r="H73" s="37" t="str">
        <f>IFERROR(VLOOKUP(E73,'Product Spec'!$O$1:$R$8,3,FALSE)," ")</f>
        <v xml:space="preserve"> </v>
      </c>
      <c r="I73" s="37" t="str">
        <f t="shared" si="20"/>
        <v xml:space="preserve"> </v>
      </c>
      <c r="J73" s="37" t="str">
        <f>IFERROR(VLOOKUP(E73,'Product Spec'!$O$1:$R$8,4,FALSE)," ")</f>
        <v xml:space="preserve"> </v>
      </c>
      <c r="K73" s="43" t="str">
        <f t="shared" si="21"/>
        <v xml:space="preserve"> </v>
      </c>
      <c r="P73" s="36">
        <f t="shared" si="22"/>
        <v>1</v>
      </c>
      <c r="Q73" s="36" t="e" cm="1">
        <f t="array" ref="Q73">_xlfn.IFS(D73=30,0.87,D73=45,0.7,D73=60,0.5)</f>
        <v>#N/A</v>
      </c>
      <c r="R73" s="36">
        <f t="shared" si="23"/>
        <v>0</v>
      </c>
    </row>
    <row r="74" spans="1:22" ht="15" customHeight="1" x14ac:dyDescent="0.25">
      <c r="A74" s="236"/>
      <c r="B74" s="20" t="s">
        <v>204</v>
      </c>
      <c r="C74" s="19"/>
      <c r="D74" s="17"/>
      <c r="E74" s="18"/>
      <c r="F74" s="18"/>
      <c r="G74" s="56"/>
      <c r="H74" s="37" t="str">
        <f>IFERROR(VLOOKUP(E74,'Product Spec'!$O$1:$R$8,3,FALSE)," ")</f>
        <v xml:space="preserve"> </v>
      </c>
      <c r="I74" s="37" t="str">
        <f t="shared" si="20"/>
        <v xml:space="preserve"> </v>
      </c>
      <c r="J74" s="37" t="str">
        <f>IFERROR(VLOOKUP(E74,'Product Spec'!$O$1:$R$8,4,FALSE)," ")</f>
        <v xml:space="preserve"> </v>
      </c>
      <c r="K74" s="43" t="str">
        <f t="shared" si="21"/>
        <v xml:space="preserve"> </v>
      </c>
      <c r="P74" s="36">
        <f t="shared" si="22"/>
        <v>1</v>
      </c>
      <c r="Q74" s="36" t="e" cm="1">
        <f t="array" ref="Q74">_xlfn.IFS(D74=30,0.87,D74=45,0.7,D74=60,0.5)</f>
        <v>#N/A</v>
      </c>
      <c r="R74" s="36">
        <f t="shared" si="23"/>
        <v>0</v>
      </c>
    </row>
    <row r="75" spans="1:22" ht="15" customHeight="1" x14ac:dyDescent="0.25">
      <c r="A75" s="236"/>
      <c r="B75" s="98" t="s">
        <v>170</v>
      </c>
      <c r="C75" s="99"/>
      <c r="D75" s="99"/>
      <c r="E75" s="99"/>
      <c r="F75" s="99"/>
      <c r="G75" s="100"/>
      <c r="H75" s="217" cm="1">
        <f t="array" ref="H75">IF(D8&lt;6,0,SUM(IFERROR(I69:I74,0)))</f>
        <v>0</v>
      </c>
      <c r="I75" s="217"/>
      <c r="J75" s="217" cm="1">
        <f t="array" ref="J75">IF(D8&lt;6,0,SUM(IFERROR(K69:K74,0)))</f>
        <v>0</v>
      </c>
      <c r="K75" s="218"/>
    </row>
    <row r="76" spans="1:22" ht="15" customHeight="1" x14ac:dyDescent="0.25">
      <c r="A76" s="44" t="s">
        <v>168</v>
      </c>
      <c r="B76" s="160"/>
      <c r="C76" s="161"/>
      <c r="D76" s="99" t="s">
        <v>166</v>
      </c>
      <c r="E76" s="99"/>
      <c r="F76" s="99"/>
      <c r="G76" s="100"/>
      <c r="H76" s="167" t="e">
        <f>MAX(100,(0.5*$D$3)/$D$8,V69)</f>
        <v>#VALUE!</v>
      </c>
      <c r="I76" s="167"/>
      <c r="J76" s="167" t="e">
        <f>MAX(100,(0.5*$I$3)/$D$8,V69)</f>
        <v>#VALUE!</v>
      </c>
      <c r="K76" s="226"/>
    </row>
    <row r="77" spans="1:22" s="49" customFormat="1" ht="15" customHeight="1" x14ac:dyDescent="0.25">
      <c r="A77" s="208" t="e">
        <f>IF(OR(S69&lt;1,S70&lt;1),"Warning: Doesn’t meet the minimum BU's requirement per line."," ")</f>
        <v>#VALUE!</v>
      </c>
      <c r="B77" s="209"/>
      <c r="C77" s="209"/>
      <c r="D77" s="209"/>
      <c r="E77" s="209"/>
      <c r="F77" s="209"/>
      <c r="G77" s="209"/>
      <c r="H77" s="209"/>
      <c r="I77" s="209"/>
      <c r="J77" s="209"/>
      <c r="K77" s="210"/>
      <c r="L77" s="51"/>
    </row>
    <row r="78" spans="1:22" ht="15" customHeight="1" x14ac:dyDescent="0.25">
      <c r="A78" s="214"/>
      <c r="B78" s="215"/>
      <c r="C78" s="215"/>
      <c r="D78" s="215"/>
      <c r="E78" s="215"/>
      <c r="F78" s="215"/>
      <c r="G78" s="215"/>
      <c r="H78" s="215"/>
      <c r="I78" s="215"/>
      <c r="J78" s="215"/>
      <c r="K78" s="216"/>
      <c r="M78" s="49"/>
      <c r="N78" s="49"/>
      <c r="O78" s="49"/>
      <c r="P78" s="49"/>
      <c r="Q78" s="49"/>
      <c r="R78" s="49"/>
      <c r="S78" s="49"/>
      <c r="T78" s="49"/>
      <c r="U78" s="49"/>
      <c r="V78" s="49"/>
    </row>
    <row r="79" spans="1:22" ht="15" customHeight="1" x14ac:dyDescent="0.25">
      <c r="A79" s="42" t="s">
        <v>83</v>
      </c>
      <c r="B79" s="33" t="s">
        <v>198</v>
      </c>
      <c r="C79" s="34" t="s">
        <v>86</v>
      </c>
      <c r="D79" s="33" t="s">
        <v>87</v>
      </c>
      <c r="E79" s="33" t="s">
        <v>84</v>
      </c>
      <c r="F79" s="33" t="s">
        <v>85</v>
      </c>
      <c r="G79" s="56"/>
      <c r="H79" s="24" t="s">
        <v>165</v>
      </c>
      <c r="I79" s="24" t="s">
        <v>169</v>
      </c>
      <c r="J79" s="24" t="s">
        <v>165</v>
      </c>
      <c r="K79" s="41" t="s">
        <v>169</v>
      </c>
      <c r="V79" s="36" t="s">
        <v>164</v>
      </c>
    </row>
    <row r="80" spans="1:22" ht="15" customHeight="1" x14ac:dyDescent="0.25">
      <c r="A80" s="236" t="s">
        <v>113</v>
      </c>
      <c r="B80" s="20" t="s">
        <v>199</v>
      </c>
      <c r="C80" s="19"/>
      <c r="D80" s="17"/>
      <c r="E80" s="18"/>
      <c r="F80" s="18"/>
      <c r="G80" s="56"/>
      <c r="H80" s="37" t="str">
        <f>IFERROR(VLOOKUP(E80,'Product Spec'!$O$1:$R$8,3,FALSE)," ")</f>
        <v xml:space="preserve"> </v>
      </c>
      <c r="I80" s="37" t="str">
        <f>IFERROR(C80*H80*P80," ")</f>
        <v xml:space="preserve"> </v>
      </c>
      <c r="J80" s="37" t="str">
        <f>IFERROR(VLOOKUP(E80,'Product Spec'!$O$1:$R$8,4,FALSE)," ")</f>
        <v xml:space="preserve"> </v>
      </c>
      <c r="K80" s="43" t="str">
        <f>IFERROR(C80*J80*P80," ")</f>
        <v xml:space="preserve"> </v>
      </c>
      <c r="P80" s="36">
        <f>IF(OR(D80=30,D80=45,D80=60),Q80,COS(R80))</f>
        <v>1</v>
      </c>
      <c r="Q80" s="36" t="e" cm="1">
        <f t="array" ref="Q80">_xlfn.IFS(D80=30,0.87,D80=45,0.7,D80=60,0.5)</f>
        <v>#N/A</v>
      </c>
      <c r="R80" s="36">
        <f>(PI()/180)*D80</f>
        <v>0</v>
      </c>
      <c r="S80" s="36" t="e">
        <f>H86/H87</f>
        <v>#VALUE!</v>
      </c>
      <c r="V80" s="36">
        <f xml:space="preserve"> C87*15</f>
        <v>0</v>
      </c>
    </row>
    <row r="81" spans="1:22" ht="15" customHeight="1" x14ac:dyDescent="0.25">
      <c r="A81" s="236"/>
      <c r="B81" s="20" t="s">
        <v>200</v>
      </c>
      <c r="C81" s="19"/>
      <c r="D81" s="17"/>
      <c r="E81" s="18"/>
      <c r="F81" s="18"/>
      <c r="G81" s="56"/>
      <c r="H81" s="37" t="str">
        <f>IFERROR(VLOOKUP(E81,'Product Spec'!$O$1:$R$8,3,FALSE)," ")</f>
        <v xml:space="preserve"> </v>
      </c>
      <c r="I81" s="37" t="str">
        <f t="shared" ref="I81:I85" si="24">IFERROR(C81*H81*P81," ")</f>
        <v xml:space="preserve"> </v>
      </c>
      <c r="J81" s="37" t="str">
        <f>IFERROR(VLOOKUP(E81,'Product Spec'!$O$1:$R$8,4,FALSE)," ")</f>
        <v xml:space="preserve"> </v>
      </c>
      <c r="K81" s="43" t="str">
        <f t="shared" ref="K81:K85" si="25">IFERROR(C81*J81*P81," ")</f>
        <v xml:space="preserve"> </v>
      </c>
      <c r="P81" s="36">
        <f t="shared" ref="P81:P85" si="26">IF(OR(D81=30,D81=45,D81=60),Q81,COS(R81))</f>
        <v>1</v>
      </c>
      <c r="Q81" s="36" t="e" cm="1">
        <f t="array" ref="Q81">_xlfn.IFS(D81=30,0.87,D81=45,0.7,D81=60,0.5)</f>
        <v>#N/A</v>
      </c>
      <c r="R81" s="36">
        <f t="shared" ref="R81:R85" si="27">(PI()/180)*D81</f>
        <v>0</v>
      </c>
      <c r="S81" s="36" t="e">
        <f>J86/J87</f>
        <v>#VALUE!</v>
      </c>
    </row>
    <row r="82" spans="1:22" ht="15" customHeight="1" x14ac:dyDescent="0.25">
      <c r="A82" s="236"/>
      <c r="B82" s="20" t="s">
        <v>201</v>
      </c>
      <c r="C82" s="19"/>
      <c r="D82" s="17"/>
      <c r="E82" s="18"/>
      <c r="F82" s="18"/>
      <c r="G82" s="56"/>
      <c r="H82" s="37" t="str">
        <f>IFERROR(VLOOKUP(E82,'Product Spec'!$O$1:$R$8,3,FALSE)," ")</f>
        <v xml:space="preserve"> </v>
      </c>
      <c r="I82" s="37" t="str">
        <f t="shared" si="24"/>
        <v xml:space="preserve"> </v>
      </c>
      <c r="J82" s="37" t="str">
        <f>IFERROR(VLOOKUP(E82,'Product Spec'!$O$1:$R$8,4,FALSE)," ")</f>
        <v xml:space="preserve"> </v>
      </c>
      <c r="K82" s="43" t="str">
        <f t="shared" si="25"/>
        <v xml:space="preserve"> </v>
      </c>
      <c r="P82" s="36">
        <f t="shared" si="26"/>
        <v>1</v>
      </c>
      <c r="Q82" s="36" t="e" cm="1">
        <f t="array" ref="Q82">_xlfn.IFS(D82=30,0.87,D82=45,0.7,D82=60,0.5)</f>
        <v>#N/A</v>
      </c>
      <c r="R82" s="36">
        <f t="shared" si="27"/>
        <v>0</v>
      </c>
    </row>
    <row r="83" spans="1:22" ht="15" customHeight="1" x14ac:dyDescent="0.25">
      <c r="A83" s="236"/>
      <c r="B83" s="20" t="s">
        <v>202</v>
      </c>
      <c r="C83" s="19"/>
      <c r="D83" s="17"/>
      <c r="E83" s="18"/>
      <c r="F83" s="18"/>
      <c r="G83" s="56"/>
      <c r="H83" s="37" t="str">
        <f>IFERROR(VLOOKUP(E83,'Product Spec'!$O$1:$R$8,3,FALSE)," ")</f>
        <v xml:space="preserve"> </v>
      </c>
      <c r="I83" s="37" t="str">
        <f t="shared" si="24"/>
        <v xml:space="preserve"> </v>
      </c>
      <c r="J83" s="37" t="str">
        <f>IFERROR(VLOOKUP(E83,'Product Spec'!$O$1:$R$8,4,FALSE)," ")</f>
        <v xml:space="preserve"> </v>
      </c>
      <c r="K83" s="43" t="str">
        <f t="shared" si="25"/>
        <v xml:space="preserve"> </v>
      </c>
      <c r="P83" s="36">
        <f t="shared" si="26"/>
        <v>1</v>
      </c>
      <c r="Q83" s="36" t="e" cm="1">
        <f t="array" ref="Q83">_xlfn.IFS(D83=30,0.87,D83=45,0.7,D83=60,0.5)</f>
        <v>#N/A</v>
      </c>
      <c r="R83" s="36">
        <f t="shared" si="27"/>
        <v>0</v>
      </c>
    </row>
    <row r="84" spans="1:22" ht="15" customHeight="1" x14ac:dyDescent="0.25">
      <c r="A84" s="236"/>
      <c r="B84" s="20" t="s">
        <v>203</v>
      </c>
      <c r="C84" s="19"/>
      <c r="D84" s="17"/>
      <c r="E84" s="18"/>
      <c r="F84" s="18"/>
      <c r="G84" s="56"/>
      <c r="H84" s="37" t="str">
        <f>IFERROR(VLOOKUP(E84,'Product Spec'!$O$1:$R$8,3,FALSE)," ")</f>
        <v xml:space="preserve"> </v>
      </c>
      <c r="I84" s="37" t="str">
        <f t="shared" si="24"/>
        <v xml:space="preserve"> </v>
      </c>
      <c r="J84" s="37" t="str">
        <f>IFERROR(VLOOKUP(E84,'Product Spec'!$O$1:$R$8,4,FALSE)," ")</f>
        <v xml:space="preserve"> </v>
      </c>
      <c r="K84" s="43" t="str">
        <f t="shared" si="25"/>
        <v xml:space="preserve"> </v>
      </c>
      <c r="P84" s="36">
        <f t="shared" si="26"/>
        <v>1</v>
      </c>
      <c r="Q84" s="36" t="e" cm="1">
        <f t="array" ref="Q84">_xlfn.IFS(D84=30,0.87,D84=45,0.7,D84=60,0.5)</f>
        <v>#N/A</v>
      </c>
      <c r="R84" s="36">
        <f t="shared" si="27"/>
        <v>0</v>
      </c>
    </row>
    <row r="85" spans="1:22" ht="15" customHeight="1" x14ac:dyDescent="0.25">
      <c r="A85" s="236"/>
      <c r="B85" s="20" t="s">
        <v>204</v>
      </c>
      <c r="C85" s="19"/>
      <c r="D85" s="17"/>
      <c r="E85" s="18"/>
      <c r="F85" s="18"/>
      <c r="G85" s="56"/>
      <c r="H85" s="37" t="str">
        <f>IFERROR(VLOOKUP(E85,'Product Spec'!$O$1:$R$8,3,FALSE)," ")</f>
        <v xml:space="preserve"> </v>
      </c>
      <c r="I85" s="37" t="str">
        <f t="shared" si="24"/>
        <v xml:space="preserve"> </v>
      </c>
      <c r="J85" s="37" t="str">
        <f>IFERROR(VLOOKUP(E85,'Product Spec'!$O$1:$R$8,4,FALSE)," ")</f>
        <v xml:space="preserve"> </v>
      </c>
      <c r="K85" s="43" t="str">
        <f t="shared" si="25"/>
        <v xml:space="preserve"> </v>
      </c>
      <c r="P85" s="36">
        <f t="shared" si="26"/>
        <v>1</v>
      </c>
      <c r="Q85" s="36" t="e" cm="1">
        <f t="array" ref="Q85">_xlfn.IFS(D85=30,0.87,D85=45,0.7,D85=60,0.5)</f>
        <v>#N/A</v>
      </c>
      <c r="R85" s="36">
        <f t="shared" si="27"/>
        <v>0</v>
      </c>
    </row>
    <row r="86" spans="1:22" ht="15" customHeight="1" x14ac:dyDescent="0.25">
      <c r="A86" s="236"/>
      <c r="B86" s="98" t="s">
        <v>170</v>
      </c>
      <c r="C86" s="99"/>
      <c r="D86" s="99"/>
      <c r="E86" s="99"/>
      <c r="F86" s="99"/>
      <c r="G86" s="100"/>
      <c r="H86" s="217" cm="1">
        <f t="array" ref="H86">IF(D8&lt;7,0,SUM(IFERROR(I80:I85,0)))</f>
        <v>0</v>
      </c>
      <c r="I86" s="217"/>
      <c r="J86" s="217" cm="1">
        <f t="array" ref="J86">IF(D8&lt;7,0,SUM(IFERROR(K80:K85,0)))</f>
        <v>0</v>
      </c>
      <c r="K86" s="218"/>
    </row>
    <row r="87" spans="1:22" ht="15" customHeight="1" x14ac:dyDescent="0.25">
      <c r="A87" s="44" t="s">
        <v>168</v>
      </c>
      <c r="B87" s="160"/>
      <c r="C87" s="161"/>
      <c r="D87" s="99" t="s">
        <v>166</v>
      </c>
      <c r="E87" s="99"/>
      <c r="F87" s="99"/>
      <c r="G87" s="100"/>
      <c r="H87" s="167" t="e">
        <f>MAX(100,(0.5*$D$3)/$D$8,V80)</f>
        <v>#VALUE!</v>
      </c>
      <c r="I87" s="167"/>
      <c r="J87" s="167" t="e">
        <f>MAX(100,(0.5*$I$3)/$D$8,V80)</f>
        <v>#VALUE!</v>
      </c>
      <c r="K87" s="226"/>
    </row>
    <row r="88" spans="1:22" s="49" customFormat="1" ht="15" customHeight="1" x14ac:dyDescent="0.25">
      <c r="A88" s="208" t="e">
        <f>IF(OR(S80&lt;1,S81&lt;1),"Warning: Doesn’t meet the minimum BU's requirement per line."," ")</f>
        <v>#VALUE!</v>
      </c>
      <c r="B88" s="209"/>
      <c r="C88" s="209"/>
      <c r="D88" s="209"/>
      <c r="E88" s="209"/>
      <c r="F88" s="209"/>
      <c r="G88" s="209"/>
      <c r="H88" s="209"/>
      <c r="I88" s="209"/>
      <c r="J88" s="209"/>
      <c r="K88" s="210"/>
      <c r="L88" s="51"/>
    </row>
    <row r="89" spans="1:22" ht="15" customHeight="1" x14ac:dyDescent="0.25">
      <c r="A89" s="214"/>
      <c r="B89" s="215"/>
      <c r="C89" s="215"/>
      <c r="D89" s="215"/>
      <c r="E89" s="215"/>
      <c r="F89" s="215"/>
      <c r="G89" s="215"/>
      <c r="H89" s="215"/>
      <c r="I89" s="215"/>
      <c r="J89" s="215"/>
      <c r="K89" s="216"/>
      <c r="M89" s="49"/>
      <c r="N89" s="49"/>
      <c r="O89" s="49"/>
      <c r="P89" s="49"/>
      <c r="Q89" s="49"/>
      <c r="R89" s="49"/>
      <c r="S89" s="49"/>
      <c r="T89" s="49"/>
      <c r="U89" s="49"/>
      <c r="V89" s="49"/>
    </row>
    <row r="90" spans="1:22" ht="15" customHeight="1" x14ac:dyDescent="0.25">
      <c r="A90" s="42" t="s">
        <v>83</v>
      </c>
      <c r="B90" s="33" t="s">
        <v>198</v>
      </c>
      <c r="C90" s="34" t="s">
        <v>86</v>
      </c>
      <c r="D90" s="33" t="s">
        <v>87</v>
      </c>
      <c r="E90" s="33" t="s">
        <v>84</v>
      </c>
      <c r="F90" s="33" t="s">
        <v>85</v>
      </c>
      <c r="G90" s="56"/>
      <c r="H90" s="24" t="s">
        <v>165</v>
      </c>
      <c r="I90" s="24" t="s">
        <v>169</v>
      </c>
      <c r="J90" s="24" t="s">
        <v>165</v>
      </c>
      <c r="K90" s="41" t="s">
        <v>169</v>
      </c>
      <c r="V90" s="36" t="s">
        <v>164</v>
      </c>
    </row>
    <row r="91" spans="1:22" ht="15" customHeight="1" x14ac:dyDescent="0.25">
      <c r="A91" s="236" t="s">
        <v>114</v>
      </c>
      <c r="B91" s="20" t="s">
        <v>199</v>
      </c>
      <c r="C91" s="19"/>
      <c r="D91" s="17"/>
      <c r="E91" s="18"/>
      <c r="F91" s="18"/>
      <c r="G91" s="56"/>
      <c r="H91" s="37" t="str">
        <f>IFERROR(VLOOKUP(E91,'Product Spec'!$O$1:$R$8,3,FALSE)," ")</f>
        <v xml:space="preserve"> </v>
      </c>
      <c r="I91" s="37" t="str">
        <f>IFERROR(C91*H91*P91," ")</f>
        <v xml:space="preserve"> </v>
      </c>
      <c r="J91" s="37" t="str">
        <f>IFERROR(VLOOKUP(E91,'Product Spec'!$O$1:$R$8,4,FALSE)," ")</f>
        <v xml:space="preserve"> </v>
      </c>
      <c r="K91" s="43" t="str">
        <f>IFERROR(C91*J91*P91," ")</f>
        <v xml:space="preserve"> </v>
      </c>
      <c r="P91" s="36">
        <f>IF(OR(D91=30,D91=45,D91=60),Q91,COS(R91))</f>
        <v>1</v>
      </c>
      <c r="Q91" s="36" t="e" cm="1">
        <f t="array" ref="Q91">_xlfn.IFS(D91=30,0.87,D91=45,0.7,D91=60,0.5)</f>
        <v>#N/A</v>
      </c>
      <c r="R91" s="36">
        <f>(PI()/180)*D91</f>
        <v>0</v>
      </c>
      <c r="S91" s="36" t="e">
        <f>H97/H98</f>
        <v>#VALUE!</v>
      </c>
      <c r="V91" s="36">
        <f xml:space="preserve"> C98*15</f>
        <v>0</v>
      </c>
    </row>
    <row r="92" spans="1:22" ht="15" customHeight="1" x14ac:dyDescent="0.25">
      <c r="A92" s="236"/>
      <c r="B92" s="20" t="s">
        <v>200</v>
      </c>
      <c r="C92" s="19"/>
      <c r="D92" s="17"/>
      <c r="E92" s="18"/>
      <c r="F92" s="18"/>
      <c r="G92" s="56"/>
      <c r="H92" s="37" t="str">
        <f>IFERROR(VLOOKUP(E92,'Product Spec'!$O$1:$R$8,3,FALSE)," ")</f>
        <v xml:space="preserve"> </v>
      </c>
      <c r="I92" s="37" t="str">
        <f t="shared" ref="I92:I96" si="28">IFERROR(C92*H92*P92," ")</f>
        <v xml:space="preserve"> </v>
      </c>
      <c r="J92" s="37" t="str">
        <f>IFERROR(VLOOKUP(E92,'Product Spec'!$O$1:$R$8,4,FALSE)," ")</f>
        <v xml:space="preserve"> </v>
      </c>
      <c r="K92" s="43" t="str">
        <f t="shared" ref="K92:K96" si="29">IFERROR(C92*J92*P92," ")</f>
        <v xml:space="preserve"> </v>
      </c>
      <c r="P92" s="36">
        <f t="shared" ref="P92:P96" si="30">IF(OR(D92=30,D92=45,D92=60),Q92,COS(R92))</f>
        <v>1</v>
      </c>
      <c r="Q92" s="36" t="e" cm="1">
        <f t="array" ref="Q92">_xlfn.IFS(D92=30,0.87,D92=45,0.7,D92=60,0.5)</f>
        <v>#N/A</v>
      </c>
      <c r="R92" s="36">
        <f t="shared" ref="R92:R96" si="31">(PI()/180)*D92</f>
        <v>0</v>
      </c>
      <c r="S92" s="36" t="e">
        <f>J97/J98</f>
        <v>#VALUE!</v>
      </c>
    </row>
    <row r="93" spans="1:22" ht="15" customHeight="1" x14ac:dyDescent="0.25">
      <c r="A93" s="236"/>
      <c r="B93" s="20" t="s">
        <v>201</v>
      </c>
      <c r="C93" s="19"/>
      <c r="D93" s="17"/>
      <c r="E93" s="18"/>
      <c r="F93" s="18"/>
      <c r="G93" s="56"/>
      <c r="H93" s="37" t="str">
        <f>IFERROR(VLOOKUP(E93,'Product Spec'!$O$1:$R$8,3,FALSE)," ")</f>
        <v xml:space="preserve"> </v>
      </c>
      <c r="I93" s="37" t="str">
        <f t="shared" si="28"/>
        <v xml:space="preserve"> </v>
      </c>
      <c r="J93" s="37" t="str">
        <f>IFERROR(VLOOKUP(E93,'Product Spec'!$O$1:$R$8,4,FALSE)," ")</f>
        <v xml:space="preserve"> </v>
      </c>
      <c r="K93" s="43" t="str">
        <f t="shared" si="29"/>
        <v xml:space="preserve"> </v>
      </c>
      <c r="P93" s="36">
        <f t="shared" si="30"/>
        <v>1</v>
      </c>
      <c r="Q93" s="36" t="e" cm="1">
        <f t="array" ref="Q93">_xlfn.IFS(D93=30,0.87,D93=45,0.7,D93=60,0.5)</f>
        <v>#N/A</v>
      </c>
      <c r="R93" s="36">
        <f t="shared" si="31"/>
        <v>0</v>
      </c>
    </row>
    <row r="94" spans="1:22" ht="15" customHeight="1" x14ac:dyDescent="0.25">
      <c r="A94" s="236"/>
      <c r="B94" s="20" t="s">
        <v>202</v>
      </c>
      <c r="C94" s="19"/>
      <c r="D94" s="17"/>
      <c r="E94" s="18"/>
      <c r="F94" s="18"/>
      <c r="G94" s="56"/>
      <c r="H94" s="37" t="str">
        <f>IFERROR(VLOOKUP(E94,'Product Spec'!$O$1:$R$8,3,FALSE)," ")</f>
        <v xml:space="preserve"> </v>
      </c>
      <c r="I94" s="37" t="str">
        <f t="shared" si="28"/>
        <v xml:space="preserve"> </v>
      </c>
      <c r="J94" s="37" t="str">
        <f>IFERROR(VLOOKUP(E94,'Product Spec'!$O$1:$R$8,4,FALSE)," ")</f>
        <v xml:space="preserve"> </v>
      </c>
      <c r="K94" s="43" t="str">
        <f t="shared" si="29"/>
        <v xml:space="preserve"> </v>
      </c>
      <c r="P94" s="36">
        <f t="shared" si="30"/>
        <v>1</v>
      </c>
      <c r="Q94" s="36" t="e" cm="1">
        <f t="array" ref="Q94">_xlfn.IFS(D94=30,0.87,D94=45,0.7,D94=60,0.5)</f>
        <v>#N/A</v>
      </c>
      <c r="R94" s="36">
        <f t="shared" si="31"/>
        <v>0</v>
      </c>
    </row>
    <row r="95" spans="1:22" ht="15" customHeight="1" x14ac:dyDescent="0.25">
      <c r="A95" s="236"/>
      <c r="B95" s="20" t="s">
        <v>203</v>
      </c>
      <c r="C95" s="19"/>
      <c r="D95" s="17"/>
      <c r="E95" s="18"/>
      <c r="F95" s="18"/>
      <c r="G95" s="56"/>
      <c r="H95" s="37" t="str">
        <f>IFERROR(VLOOKUP(E95,'Product Spec'!$O$1:$R$8,3,FALSE)," ")</f>
        <v xml:space="preserve"> </v>
      </c>
      <c r="I95" s="37" t="str">
        <f t="shared" si="28"/>
        <v xml:space="preserve"> </v>
      </c>
      <c r="J95" s="37" t="str">
        <f>IFERROR(VLOOKUP(E95,'Product Spec'!$O$1:$R$8,4,FALSE)," ")</f>
        <v xml:space="preserve"> </v>
      </c>
      <c r="K95" s="43" t="str">
        <f t="shared" si="29"/>
        <v xml:space="preserve"> </v>
      </c>
      <c r="P95" s="36">
        <f t="shared" si="30"/>
        <v>1</v>
      </c>
      <c r="Q95" s="36" t="e" cm="1">
        <f t="array" ref="Q95">_xlfn.IFS(D95=30,0.87,D95=45,0.7,D95=60,0.5)</f>
        <v>#N/A</v>
      </c>
      <c r="R95" s="36">
        <f t="shared" si="31"/>
        <v>0</v>
      </c>
    </row>
    <row r="96" spans="1:22" ht="15" customHeight="1" x14ac:dyDescent="0.25">
      <c r="A96" s="236"/>
      <c r="B96" s="20" t="s">
        <v>204</v>
      </c>
      <c r="C96" s="19"/>
      <c r="D96" s="17"/>
      <c r="E96" s="18"/>
      <c r="F96" s="18"/>
      <c r="G96" s="56"/>
      <c r="H96" s="37" t="str">
        <f>IFERROR(VLOOKUP(E96,'Product Spec'!$O$1:$R$8,3,FALSE)," ")</f>
        <v xml:space="preserve"> </v>
      </c>
      <c r="I96" s="37" t="str">
        <f t="shared" si="28"/>
        <v xml:space="preserve"> </v>
      </c>
      <c r="J96" s="37" t="str">
        <f>IFERROR(VLOOKUP(E96,'Product Spec'!$O$1:$R$8,4,FALSE)," ")</f>
        <v xml:space="preserve"> </v>
      </c>
      <c r="K96" s="43" t="str">
        <f t="shared" si="29"/>
        <v xml:space="preserve"> </v>
      </c>
      <c r="P96" s="36">
        <f t="shared" si="30"/>
        <v>1</v>
      </c>
      <c r="Q96" s="36" t="e" cm="1">
        <f t="array" ref="Q96">_xlfn.IFS(D96=30,0.87,D96=45,0.7,D96=60,0.5)</f>
        <v>#N/A</v>
      </c>
      <c r="R96" s="36">
        <f t="shared" si="31"/>
        <v>0</v>
      </c>
    </row>
    <row r="97" spans="1:22" ht="15" customHeight="1" x14ac:dyDescent="0.25">
      <c r="A97" s="236"/>
      <c r="B97" s="98" t="s">
        <v>170</v>
      </c>
      <c r="C97" s="99"/>
      <c r="D97" s="99"/>
      <c r="E97" s="99"/>
      <c r="F97" s="99"/>
      <c r="G97" s="100"/>
      <c r="H97" s="217" cm="1">
        <f t="array" ref="H97">IF(D8&lt;8,0,SUM(IFERROR(I91:I96,0)))</f>
        <v>0</v>
      </c>
      <c r="I97" s="217"/>
      <c r="J97" s="217" cm="1">
        <f t="array" ref="J97">IF(D8&lt;8,0,SUM(IFERROR(K91:K96,0)))</f>
        <v>0</v>
      </c>
      <c r="K97" s="218"/>
    </row>
    <row r="98" spans="1:22" ht="15" customHeight="1" x14ac:dyDescent="0.25">
      <c r="A98" s="44" t="s">
        <v>168</v>
      </c>
      <c r="B98" s="160"/>
      <c r="C98" s="161"/>
      <c r="D98" s="99" t="s">
        <v>166</v>
      </c>
      <c r="E98" s="99"/>
      <c r="F98" s="99"/>
      <c r="G98" s="100"/>
      <c r="H98" s="167" t="e">
        <f>MAX(100,(0.5*$D$3)/$D$8,V91)</f>
        <v>#VALUE!</v>
      </c>
      <c r="I98" s="167"/>
      <c r="J98" s="167" t="e">
        <f>MAX(100,(0.5*$I$3)/$D$8,V91)</f>
        <v>#VALUE!</v>
      </c>
      <c r="K98" s="226"/>
    </row>
    <row r="99" spans="1:22" s="49" customFormat="1" ht="15" customHeight="1" x14ac:dyDescent="0.25">
      <c r="A99" s="208" t="e">
        <f>IF(OR(S91&lt;1,S92&lt;1),"Warning: Doesn’t meet the minimum BU's requirement per line."," ")</f>
        <v>#VALUE!</v>
      </c>
      <c r="B99" s="209"/>
      <c r="C99" s="209"/>
      <c r="D99" s="209"/>
      <c r="E99" s="209"/>
      <c r="F99" s="209"/>
      <c r="G99" s="209"/>
      <c r="H99" s="209"/>
      <c r="I99" s="209"/>
      <c r="J99" s="209"/>
      <c r="K99" s="210"/>
      <c r="L99" s="51"/>
    </row>
    <row r="100" spans="1:22" ht="15" customHeight="1" x14ac:dyDescent="0.25">
      <c r="A100" s="214"/>
      <c r="B100" s="215"/>
      <c r="C100" s="215"/>
      <c r="D100" s="215"/>
      <c r="E100" s="215"/>
      <c r="F100" s="215"/>
      <c r="G100" s="215"/>
      <c r="H100" s="215"/>
      <c r="I100" s="215"/>
      <c r="J100" s="215"/>
      <c r="K100" s="216"/>
      <c r="M100" s="49"/>
      <c r="N100" s="49"/>
      <c r="O100" s="49"/>
      <c r="P100" s="49"/>
      <c r="Q100" s="49"/>
      <c r="R100" s="49"/>
      <c r="S100" s="49"/>
      <c r="T100" s="49"/>
      <c r="U100" s="49"/>
      <c r="V100" s="49"/>
    </row>
    <row r="101" spans="1:22" ht="15" customHeight="1" x14ac:dyDescent="0.25">
      <c r="A101" s="42" t="s">
        <v>83</v>
      </c>
      <c r="B101" s="33" t="s">
        <v>198</v>
      </c>
      <c r="C101" s="34" t="s">
        <v>86</v>
      </c>
      <c r="D101" s="33" t="s">
        <v>87</v>
      </c>
      <c r="E101" s="33" t="s">
        <v>84</v>
      </c>
      <c r="F101" s="33" t="s">
        <v>85</v>
      </c>
      <c r="G101" s="56"/>
      <c r="H101" s="24" t="s">
        <v>165</v>
      </c>
      <c r="I101" s="24" t="s">
        <v>169</v>
      </c>
      <c r="J101" s="24" t="s">
        <v>165</v>
      </c>
      <c r="K101" s="41" t="s">
        <v>169</v>
      </c>
      <c r="V101" s="36" t="s">
        <v>164</v>
      </c>
    </row>
    <row r="102" spans="1:22" ht="15" customHeight="1" x14ac:dyDescent="0.25">
      <c r="A102" s="236" t="s">
        <v>116</v>
      </c>
      <c r="B102" s="20" t="s">
        <v>199</v>
      </c>
      <c r="C102" s="19"/>
      <c r="D102" s="17"/>
      <c r="E102" s="18"/>
      <c r="F102" s="18"/>
      <c r="G102" s="56"/>
      <c r="H102" s="37" t="str">
        <f>IFERROR(VLOOKUP(E102,'Product Spec'!$O$1:$R$8,3,FALSE)," ")</f>
        <v xml:space="preserve"> </v>
      </c>
      <c r="I102" s="37">
        <v>0</v>
      </c>
      <c r="J102" s="37" t="str">
        <f>IFERROR(VLOOKUP(E102,'Product Spec'!$O$1:$R$8,4,FALSE)," ")</f>
        <v xml:space="preserve"> </v>
      </c>
      <c r="K102" s="43" t="str">
        <f>IFERROR(C102*J102*P102," ")</f>
        <v xml:space="preserve"> </v>
      </c>
      <c r="P102" s="36">
        <f>IF(OR(D102=30,D102=45,D102=60),Q102,COS(R102))</f>
        <v>1</v>
      </c>
      <c r="Q102" s="36" t="e" cm="1">
        <f t="array" ref="Q102">_xlfn.IFS(D102=30,0.87,D102=45,0.7,D102=60,0.5)</f>
        <v>#N/A</v>
      </c>
      <c r="R102" s="36">
        <f>(PI()/180)*D102</f>
        <v>0</v>
      </c>
      <c r="S102" s="36" t="e">
        <f>H108/H109</f>
        <v>#VALUE!</v>
      </c>
      <c r="V102" s="36">
        <f xml:space="preserve"> C109*15</f>
        <v>0</v>
      </c>
    </row>
    <row r="103" spans="1:22" ht="15" customHeight="1" x14ac:dyDescent="0.25">
      <c r="A103" s="236"/>
      <c r="B103" s="20" t="s">
        <v>200</v>
      </c>
      <c r="C103" s="19"/>
      <c r="D103" s="17"/>
      <c r="E103" s="18"/>
      <c r="F103" s="18"/>
      <c r="G103" s="56"/>
      <c r="H103" s="37" t="str">
        <f>IFERROR(VLOOKUP(E103,'Product Spec'!$O$1:$R$8,3,FALSE)," ")</f>
        <v xml:space="preserve"> </v>
      </c>
      <c r="I103" s="37" t="s">
        <v>179</v>
      </c>
      <c r="J103" s="37" t="str">
        <f>IFERROR(VLOOKUP(E103,'Product Spec'!$O$1:$R$8,4,FALSE)," ")</f>
        <v xml:space="preserve"> </v>
      </c>
      <c r="K103" s="43" t="str">
        <f t="shared" ref="K103:K107" si="32">IFERROR(C103*J103*P103," ")</f>
        <v xml:space="preserve"> </v>
      </c>
      <c r="P103" s="36">
        <f t="shared" ref="P103:P107" si="33">IF(OR(D103=30,D103=45,D103=60),Q103,COS(R103))</f>
        <v>1</v>
      </c>
      <c r="Q103" s="36" t="e" cm="1">
        <f t="array" ref="Q103">_xlfn.IFS(D103=30,0.87,D103=45,0.7,D103=60,0.5)</f>
        <v>#N/A</v>
      </c>
      <c r="R103" s="36">
        <f t="shared" ref="R103:R107" si="34">(PI()/180)*D103</f>
        <v>0</v>
      </c>
      <c r="S103" s="36" t="e">
        <f>J108/J109</f>
        <v>#VALUE!</v>
      </c>
    </row>
    <row r="104" spans="1:22" ht="15" customHeight="1" x14ac:dyDescent="0.25">
      <c r="A104" s="236"/>
      <c r="B104" s="20" t="s">
        <v>201</v>
      </c>
      <c r="C104" s="19"/>
      <c r="D104" s="17"/>
      <c r="E104" s="18"/>
      <c r="F104" s="18"/>
      <c r="G104" s="56"/>
      <c r="H104" s="37" t="str">
        <f>IFERROR(VLOOKUP(E104,'Product Spec'!$O$1:$R$8,3,FALSE)," ")</f>
        <v xml:space="preserve"> </v>
      </c>
      <c r="I104" s="37" t="s">
        <v>179</v>
      </c>
      <c r="J104" s="37" t="str">
        <f>IFERROR(VLOOKUP(E104,'Product Spec'!$O$1:$R$8,4,FALSE)," ")</f>
        <v xml:space="preserve"> </v>
      </c>
      <c r="K104" s="43" t="str">
        <f t="shared" si="32"/>
        <v xml:space="preserve"> </v>
      </c>
      <c r="P104" s="36">
        <f t="shared" si="33"/>
        <v>1</v>
      </c>
      <c r="Q104" s="36" t="e" cm="1">
        <f t="array" ref="Q104">_xlfn.IFS(D104=30,0.87,D104=45,0.7,D104=60,0.5)</f>
        <v>#N/A</v>
      </c>
      <c r="R104" s="36">
        <f t="shared" si="34"/>
        <v>0</v>
      </c>
    </row>
    <row r="105" spans="1:22" ht="15" customHeight="1" x14ac:dyDescent="0.25">
      <c r="A105" s="236"/>
      <c r="B105" s="20" t="s">
        <v>202</v>
      </c>
      <c r="C105" s="19"/>
      <c r="D105" s="17"/>
      <c r="E105" s="18"/>
      <c r="F105" s="18"/>
      <c r="G105" s="56"/>
      <c r="H105" s="37" t="str">
        <f>IFERROR(VLOOKUP(E105,'Product Spec'!$O$1:$R$8,3,FALSE)," ")</f>
        <v xml:space="preserve"> </v>
      </c>
      <c r="I105" s="37" t="s">
        <v>179</v>
      </c>
      <c r="J105" s="37" t="str">
        <f>IFERROR(VLOOKUP(E105,'Product Spec'!$O$1:$R$8,4,FALSE)," ")</f>
        <v xml:space="preserve"> </v>
      </c>
      <c r="K105" s="43" t="str">
        <f t="shared" si="32"/>
        <v xml:space="preserve"> </v>
      </c>
      <c r="P105" s="36">
        <f t="shared" si="33"/>
        <v>1</v>
      </c>
      <c r="Q105" s="36" t="e" cm="1">
        <f t="array" ref="Q105">_xlfn.IFS(D105=30,0.87,D105=45,0.7,D105=60,0.5)</f>
        <v>#N/A</v>
      </c>
      <c r="R105" s="36">
        <f t="shared" si="34"/>
        <v>0</v>
      </c>
    </row>
    <row r="106" spans="1:22" ht="15" customHeight="1" x14ac:dyDescent="0.25">
      <c r="A106" s="236"/>
      <c r="B106" s="20" t="s">
        <v>203</v>
      </c>
      <c r="C106" s="19"/>
      <c r="D106" s="17"/>
      <c r="E106" s="18"/>
      <c r="F106" s="18"/>
      <c r="G106" s="56"/>
      <c r="H106" s="37" t="str">
        <f>IFERROR(VLOOKUP(E106,'Product Spec'!$O$1:$R$8,3,FALSE)," ")</f>
        <v xml:space="preserve"> </v>
      </c>
      <c r="I106" s="37" t="s">
        <v>179</v>
      </c>
      <c r="J106" s="37" t="str">
        <f>IFERROR(VLOOKUP(E106,'Product Spec'!$O$1:$R$8,4,FALSE)," ")</f>
        <v xml:space="preserve"> </v>
      </c>
      <c r="K106" s="43" t="str">
        <f t="shared" si="32"/>
        <v xml:space="preserve"> </v>
      </c>
      <c r="P106" s="36">
        <f t="shared" si="33"/>
        <v>1</v>
      </c>
      <c r="Q106" s="36" t="e" cm="1">
        <f t="array" ref="Q106">_xlfn.IFS(D106=30,0.87,D106=45,0.7,D106=60,0.5)</f>
        <v>#N/A</v>
      </c>
      <c r="R106" s="36">
        <f t="shared" si="34"/>
        <v>0</v>
      </c>
    </row>
    <row r="107" spans="1:22" ht="15" customHeight="1" x14ac:dyDescent="0.25">
      <c r="A107" s="236"/>
      <c r="B107" s="20" t="s">
        <v>204</v>
      </c>
      <c r="C107" s="19"/>
      <c r="D107" s="17"/>
      <c r="E107" s="18"/>
      <c r="F107" s="18"/>
      <c r="G107" s="56"/>
      <c r="H107" s="37" t="str">
        <f>IFERROR(VLOOKUP(E107,'Product Spec'!$O$1:$R$8,3,FALSE)," ")</f>
        <v xml:space="preserve"> </v>
      </c>
      <c r="I107" s="37">
        <v>0</v>
      </c>
      <c r="J107" s="37" t="str">
        <f>IFERROR(VLOOKUP(E107,'Product Spec'!$O$1:$R$8,4,FALSE)," ")</f>
        <v xml:space="preserve"> </v>
      </c>
      <c r="K107" s="43" t="str">
        <f t="shared" si="32"/>
        <v xml:space="preserve"> </v>
      </c>
      <c r="P107" s="36">
        <f t="shared" si="33"/>
        <v>1</v>
      </c>
      <c r="Q107" s="36" t="e" cm="1">
        <f t="array" ref="Q107">_xlfn.IFS(D107=30,0.87,D107=45,0.7,D107=60,0.5)</f>
        <v>#N/A</v>
      </c>
      <c r="R107" s="36">
        <f t="shared" si="34"/>
        <v>0</v>
      </c>
    </row>
    <row r="108" spans="1:22" ht="15" customHeight="1" x14ac:dyDescent="0.25">
      <c r="A108" s="236"/>
      <c r="B108" s="98" t="s">
        <v>170</v>
      </c>
      <c r="C108" s="99"/>
      <c r="D108" s="99"/>
      <c r="E108" s="99"/>
      <c r="F108" s="99"/>
      <c r="G108" s="100"/>
      <c r="H108" s="217" cm="1">
        <f t="array" ref="H108">IF(D8&lt;9,0,SUM(IFERROR(I102:I107,0)))</f>
        <v>0</v>
      </c>
      <c r="I108" s="217"/>
      <c r="J108" s="217" cm="1">
        <f t="array" ref="J108">IF(D8&lt;9,0,SUM(IFERROR(K102:K107,0)))</f>
        <v>0</v>
      </c>
      <c r="K108" s="218"/>
    </row>
    <row r="109" spans="1:22" ht="15" customHeight="1" x14ac:dyDescent="0.25">
      <c r="A109" s="44" t="s">
        <v>168</v>
      </c>
      <c r="B109" s="160"/>
      <c r="C109" s="161"/>
      <c r="D109" s="99" t="s">
        <v>166</v>
      </c>
      <c r="E109" s="99"/>
      <c r="F109" s="99"/>
      <c r="G109" s="100"/>
      <c r="H109" s="133" t="e">
        <f>MAX(100,(0.5*$D$3)/$D$8,V102)</f>
        <v>#VALUE!</v>
      </c>
      <c r="I109" s="133"/>
      <c r="J109" s="167" t="e">
        <f>MAX(100,(0.5*$I$3)/$D$8,V102)</f>
        <v>#VALUE!</v>
      </c>
      <c r="K109" s="226"/>
    </row>
    <row r="110" spans="1:22" s="49" customFormat="1" ht="15" customHeight="1" x14ac:dyDescent="0.25">
      <c r="A110" s="208" t="e">
        <f>IF(OR(S102&lt;1,S103&lt;1),"Warning: Doesn’t meet the minimum BU's requirement per line."," ")</f>
        <v>#VALUE!</v>
      </c>
      <c r="B110" s="209"/>
      <c r="C110" s="209"/>
      <c r="D110" s="209"/>
      <c r="E110" s="209"/>
      <c r="F110" s="209"/>
      <c r="G110" s="209"/>
      <c r="H110" s="209"/>
      <c r="I110" s="209"/>
      <c r="J110" s="209"/>
      <c r="K110" s="210"/>
      <c r="L110" s="51"/>
    </row>
    <row r="111" spans="1:22" ht="15" customHeight="1" x14ac:dyDescent="0.25">
      <c r="A111" s="214"/>
      <c r="B111" s="215"/>
      <c r="C111" s="215"/>
      <c r="D111" s="215"/>
      <c r="E111" s="215"/>
      <c r="F111" s="215"/>
      <c r="G111" s="215"/>
      <c r="H111" s="215"/>
      <c r="I111" s="215"/>
      <c r="J111" s="215"/>
      <c r="K111" s="216"/>
      <c r="M111" s="49"/>
      <c r="N111" s="49"/>
      <c r="O111" s="49"/>
      <c r="P111" s="49"/>
      <c r="Q111" s="49"/>
      <c r="R111" s="49"/>
      <c r="S111" s="49"/>
      <c r="T111" s="49"/>
      <c r="U111" s="49"/>
      <c r="V111" s="49"/>
    </row>
    <row r="112" spans="1:22" ht="15" customHeight="1" x14ac:dyDescent="0.25">
      <c r="A112" s="42" t="s">
        <v>83</v>
      </c>
      <c r="B112" s="33" t="s">
        <v>198</v>
      </c>
      <c r="C112" s="34" t="s">
        <v>86</v>
      </c>
      <c r="D112" s="33" t="s">
        <v>87</v>
      </c>
      <c r="E112" s="33" t="s">
        <v>84</v>
      </c>
      <c r="F112" s="33" t="s">
        <v>85</v>
      </c>
      <c r="G112" s="56"/>
      <c r="H112" s="24" t="s">
        <v>165</v>
      </c>
      <c r="I112" s="24" t="s">
        <v>169</v>
      </c>
      <c r="J112" s="24" t="s">
        <v>165</v>
      </c>
      <c r="K112" s="41" t="s">
        <v>169</v>
      </c>
      <c r="V112" s="36" t="s">
        <v>164</v>
      </c>
    </row>
    <row r="113" spans="1:22" ht="15" customHeight="1" x14ac:dyDescent="0.25">
      <c r="A113" s="236" t="s">
        <v>115</v>
      </c>
      <c r="B113" s="20" t="s">
        <v>199</v>
      </c>
      <c r="C113" s="19"/>
      <c r="D113" s="17"/>
      <c r="E113" s="18"/>
      <c r="F113" s="18"/>
      <c r="G113" s="56"/>
      <c r="H113" s="37" t="str">
        <f>IFERROR(VLOOKUP(E113,'Product Spec'!$O$1:$R$8,3,FALSE)," ")</f>
        <v xml:space="preserve"> </v>
      </c>
      <c r="I113" s="37" t="str">
        <f>IFERROR(C113*H113*P113," ")</f>
        <v xml:space="preserve"> </v>
      </c>
      <c r="J113" s="37" t="str">
        <f>IFERROR(VLOOKUP(E113,'Product Spec'!$O$1:$R$8,4,FALSE)," ")</f>
        <v xml:space="preserve"> </v>
      </c>
      <c r="K113" s="43" t="str">
        <f>IFERROR(C113*J113*P113," ")</f>
        <v xml:space="preserve"> </v>
      </c>
      <c r="P113" s="36">
        <f>IF(OR(D113=30,D113=45,D113=60),Q113,COS(R113))</f>
        <v>1</v>
      </c>
      <c r="Q113" s="36" t="e" cm="1">
        <f t="array" ref="Q113">_xlfn.IFS(D113=30,0.87,D113=45,0.7,D113=60,0.5)</f>
        <v>#N/A</v>
      </c>
      <c r="R113" s="36">
        <f>(PI()/180)*D113</f>
        <v>0</v>
      </c>
      <c r="S113" s="36" t="e">
        <f>H119/H120</f>
        <v>#VALUE!</v>
      </c>
      <c r="V113" s="36">
        <f xml:space="preserve"> C120*15</f>
        <v>0</v>
      </c>
    </row>
    <row r="114" spans="1:22" ht="15" customHeight="1" x14ac:dyDescent="0.25">
      <c r="A114" s="236"/>
      <c r="B114" s="20" t="s">
        <v>200</v>
      </c>
      <c r="C114" s="19"/>
      <c r="D114" s="17"/>
      <c r="E114" s="18"/>
      <c r="F114" s="18"/>
      <c r="G114" s="56"/>
      <c r="H114" s="37" t="str">
        <f>IFERROR(VLOOKUP(E114,'Product Spec'!$O$1:$R$8,3,FALSE)," ")</f>
        <v xml:space="preserve"> </v>
      </c>
      <c r="I114" s="37" t="str">
        <f>IFERROR(C114*H114*P114," ")</f>
        <v xml:space="preserve"> </v>
      </c>
      <c r="J114" s="37" t="str">
        <f>IFERROR(VLOOKUP(E114,'Product Spec'!$O$1:$R$8,4,FALSE)," ")</f>
        <v xml:space="preserve"> </v>
      </c>
      <c r="K114" s="43" t="str">
        <f t="shared" ref="K114:K118" si="35">IFERROR(C114*J114*P114," ")</f>
        <v xml:space="preserve"> </v>
      </c>
      <c r="P114" s="36">
        <f t="shared" ref="P114:P118" si="36">IF(OR(D114=30,D114=45,D114=60),Q114,COS(R114))</f>
        <v>1</v>
      </c>
      <c r="Q114" s="36" t="e" cm="1">
        <f t="array" ref="Q114">_xlfn.IFS(D114=30,0.87,D114=45,0.7,D114=60,0.5)</f>
        <v>#N/A</v>
      </c>
      <c r="R114" s="36">
        <f t="shared" ref="R114:R118" si="37">(PI()/180)*D114</f>
        <v>0</v>
      </c>
      <c r="S114" s="36" t="e">
        <f>J119/J120</f>
        <v>#VALUE!</v>
      </c>
    </row>
    <row r="115" spans="1:22" ht="15" customHeight="1" x14ac:dyDescent="0.25">
      <c r="A115" s="236"/>
      <c r="B115" s="20" t="s">
        <v>201</v>
      </c>
      <c r="C115" s="19"/>
      <c r="D115" s="17"/>
      <c r="E115" s="18"/>
      <c r="F115" s="18"/>
      <c r="G115" s="56"/>
      <c r="H115" s="37" t="str">
        <f>IFERROR(VLOOKUP(E115,'Product Spec'!$O$1:$R$8,3,FALSE)," ")</f>
        <v xml:space="preserve"> </v>
      </c>
      <c r="I115" s="37" t="str">
        <f t="shared" ref="I115:I118" si="38">IFERROR(C115*H115*P115," ")</f>
        <v xml:space="preserve"> </v>
      </c>
      <c r="J115" s="37" t="str">
        <f>IFERROR(VLOOKUP(E115,'Product Spec'!$O$1:$R$8,4,FALSE)," ")</f>
        <v xml:space="preserve"> </v>
      </c>
      <c r="K115" s="43" t="str">
        <f t="shared" si="35"/>
        <v xml:space="preserve"> </v>
      </c>
      <c r="P115" s="36">
        <f t="shared" si="36"/>
        <v>1</v>
      </c>
      <c r="Q115" s="36" t="e" cm="1">
        <f t="array" ref="Q115">_xlfn.IFS(D115=30,0.87,D115=45,0.7,D115=60,0.5)</f>
        <v>#N/A</v>
      </c>
      <c r="R115" s="36">
        <f t="shared" si="37"/>
        <v>0</v>
      </c>
    </row>
    <row r="116" spans="1:22" ht="15" customHeight="1" x14ac:dyDescent="0.25">
      <c r="A116" s="236"/>
      <c r="B116" s="20" t="s">
        <v>202</v>
      </c>
      <c r="C116" s="19"/>
      <c r="D116" s="17"/>
      <c r="E116" s="18"/>
      <c r="F116" s="18"/>
      <c r="G116" s="56"/>
      <c r="H116" s="37" t="str">
        <f>IFERROR(VLOOKUP(E116,'Product Spec'!$O$1:$R$8,3,FALSE)," ")</f>
        <v xml:space="preserve"> </v>
      </c>
      <c r="I116" s="37" t="str">
        <f t="shared" si="38"/>
        <v xml:space="preserve"> </v>
      </c>
      <c r="J116" s="37" t="str">
        <f>IFERROR(VLOOKUP(E116,'Product Spec'!$O$1:$R$8,4,FALSE)," ")</f>
        <v xml:space="preserve"> </v>
      </c>
      <c r="K116" s="43" t="str">
        <f t="shared" si="35"/>
        <v xml:space="preserve"> </v>
      </c>
      <c r="P116" s="36">
        <f t="shared" si="36"/>
        <v>1</v>
      </c>
      <c r="Q116" s="36" t="e" cm="1">
        <f t="array" ref="Q116">_xlfn.IFS(D116=30,0.87,D116=45,0.7,D116=60,0.5)</f>
        <v>#N/A</v>
      </c>
      <c r="R116" s="36">
        <f t="shared" si="37"/>
        <v>0</v>
      </c>
    </row>
    <row r="117" spans="1:22" ht="15" customHeight="1" x14ac:dyDescent="0.25">
      <c r="A117" s="236"/>
      <c r="B117" s="20" t="s">
        <v>203</v>
      </c>
      <c r="C117" s="19"/>
      <c r="D117" s="17"/>
      <c r="E117" s="18"/>
      <c r="F117" s="18"/>
      <c r="G117" s="56"/>
      <c r="H117" s="37" t="str">
        <f>IFERROR(VLOOKUP(E117,'Product Spec'!$O$1:$R$8,3,FALSE)," ")</f>
        <v xml:space="preserve"> </v>
      </c>
      <c r="I117" s="37" t="str">
        <f t="shared" si="38"/>
        <v xml:space="preserve"> </v>
      </c>
      <c r="J117" s="37" t="str">
        <f>IFERROR(VLOOKUP(E117,'Product Spec'!$O$1:$R$8,4,FALSE)," ")</f>
        <v xml:space="preserve"> </v>
      </c>
      <c r="K117" s="43" t="str">
        <f t="shared" si="35"/>
        <v xml:space="preserve"> </v>
      </c>
      <c r="P117" s="36">
        <f t="shared" si="36"/>
        <v>1</v>
      </c>
      <c r="Q117" s="36" t="e" cm="1">
        <f t="array" ref="Q117">_xlfn.IFS(D117=30,0.87,D117=45,0.7,D117=60,0.5)</f>
        <v>#N/A</v>
      </c>
      <c r="R117" s="36">
        <f t="shared" si="37"/>
        <v>0</v>
      </c>
    </row>
    <row r="118" spans="1:22" ht="15" customHeight="1" x14ac:dyDescent="0.25">
      <c r="A118" s="236"/>
      <c r="B118" s="20" t="s">
        <v>204</v>
      </c>
      <c r="C118" s="19"/>
      <c r="D118" s="17"/>
      <c r="E118" s="18"/>
      <c r="F118" s="18"/>
      <c r="G118" s="56"/>
      <c r="H118" s="37" t="str">
        <f>IFERROR(VLOOKUP(E118,'Product Spec'!$O$1:$R$8,3,FALSE)," ")</f>
        <v xml:space="preserve"> </v>
      </c>
      <c r="I118" s="37" t="str">
        <f t="shared" si="38"/>
        <v xml:space="preserve"> </v>
      </c>
      <c r="J118" s="37" t="str">
        <f>IFERROR(VLOOKUP(E118,'Product Spec'!$O$1:$R$8,4,FALSE)," ")</f>
        <v xml:space="preserve"> </v>
      </c>
      <c r="K118" s="43" t="str">
        <f t="shared" si="35"/>
        <v xml:space="preserve"> </v>
      </c>
      <c r="P118" s="36">
        <f t="shared" si="36"/>
        <v>1</v>
      </c>
      <c r="Q118" s="36" t="e" cm="1">
        <f t="array" ref="Q118">_xlfn.IFS(D118=30,0.87,D118=45,0.7,D118=60,0.5)</f>
        <v>#N/A</v>
      </c>
      <c r="R118" s="36">
        <f t="shared" si="37"/>
        <v>0</v>
      </c>
    </row>
    <row r="119" spans="1:22" ht="15" customHeight="1" x14ac:dyDescent="0.25">
      <c r="A119" s="236"/>
      <c r="B119" s="98" t="s">
        <v>170</v>
      </c>
      <c r="C119" s="99"/>
      <c r="D119" s="99"/>
      <c r="E119" s="99"/>
      <c r="F119" s="99"/>
      <c r="G119" s="100"/>
      <c r="H119" s="217" cm="1">
        <f t="array" ref="H119">IF(D8&lt;10,0,SUM(IFERROR(I113:I118,0)))</f>
        <v>0</v>
      </c>
      <c r="I119" s="217"/>
      <c r="J119" s="217" cm="1">
        <f t="array" ref="J119">IF(D8&lt;10,0,SUM(IFERROR(K113:K118,0)))</f>
        <v>0</v>
      </c>
      <c r="K119" s="218"/>
    </row>
    <row r="120" spans="1:22" ht="15" customHeight="1" x14ac:dyDescent="0.25">
      <c r="A120" s="44" t="s">
        <v>168</v>
      </c>
      <c r="B120" s="160"/>
      <c r="C120" s="161"/>
      <c r="D120" s="99" t="s">
        <v>166</v>
      </c>
      <c r="E120" s="99"/>
      <c r="F120" s="99"/>
      <c r="G120" s="100"/>
      <c r="H120" s="167" t="e">
        <f>MAX(100,(0.5*$D$3)/$D$8,V113)</f>
        <v>#VALUE!</v>
      </c>
      <c r="I120" s="167"/>
      <c r="J120" s="167" t="e">
        <f>MAX(100,(0.5*$I$3)/$D$8,V113)</f>
        <v>#VALUE!</v>
      </c>
      <c r="K120" s="226"/>
    </row>
    <row r="121" spans="1:22" s="49" customFormat="1" ht="15" customHeight="1" x14ac:dyDescent="0.25">
      <c r="A121" s="208" t="e">
        <f>IF(OR(S113&lt;1,S114&lt;1),"Warning: Doesn’t meet the minimum BU's requirement per line."," ")</f>
        <v>#VALUE!</v>
      </c>
      <c r="B121" s="209"/>
      <c r="C121" s="209"/>
      <c r="D121" s="209"/>
      <c r="E121" s="209"/>
      <c r="F121" s="209"/>
      <c r="G121" s="209"/>
      <c r="H121" s="209"/>
      <c r="I121" s="209"/>
      <c r="J121" s="209"/>
      <c r="K121" s="210"/>
      <c r="L121" s="51"/>
    </row>
    <row r="122" spans="1:22" ht="15" customHeight="1" thickBot="1" x14ac:dyDescent="0.3">
      <c r="A122" s="211"/>
      <c r="B122" s="212"/>
      <c r="C122" s="212"/>
      <c r="D122" s="212"/>
      <c r="E122" s="212"/>
      <c r="F122" s="212"/>
      <c r="G122" s="212"/>
      <c r="H122" s="212"/>
      <c r="I122" s="212"/>
      <c r="J122" s="212"/>
      <c r="K122" s="213"/>
      <c r="M122" s="49"/>
      <c r="N122" s="49"/>
      <c r="O122" s="49"/>
      <c r="P122" s="49"/>
      <c r="Q122" s="49"/>
      <c r="R122" s="49"/>
      <c r="S122" s="49"/>
      <c r="T122" s="49"/>
      <c r="U122" s="49"/>
      <c r="V122" s="49"/>
    </row>
    <row r="123" spans="1:22" ht="50.1" customHeight="1" x14ac:dyDescent="0.25">
      <c r="A123" s="227" t="s">
        <v>178</v>
      </c>
      <c r="B123" s="228"/>
      <c r="C123" s="228"/>
      <c r="D123" s="228"/>
      <c r="E123" s="228"/>
      <c r="F123" s="228"/>
      <c r="G123" s="228"/>
      <c r="H123" s="228"/>
      <c r="I123" s="228"/>
      <c r="J123" s="228"/>
      <c r="K123" s="229"/>
      <c r="M123" s="49"/>
      <c r="N123" s="49"/>
      <c r="O123" s="49"/>
      <c r="P123" s="49"/>
      <c r="Q123" s="49"/>
      <c r="R123" s="49"/>
      <c r="S123" s="49"/>
      <c r="T123" s="49"/>
      <c r="U123" s="49"/>
      <c r="V123" s="49"/>
    </row>
    <row r="124" spans="1:22" ht="26.25" customHeight="1" x14ac:dyDescent="0.25">
      <c r="A124" s="176" t="s">
        <v>103</v>
      </c>
      <c r="B124" s="177"/>
      <c r="C124" s="177"/>
      <c r="D124" s="177"/>
      <c r="E124" s="177"/>
      <c r="F124" s="177"/>
      <c r="G124" s="177" t="s">
        <v>104</v>
      </c>
      <c r="H124" s="177"/>
      <c r="I124" s="177"/>
      <c r="J124" s="177"/>
      <c r="K124" s="178"/>
      <c r="M124" s="49"/>
      <c r="N124" s="49"/>
      <c r="O124" s="49"/>
      <c r="P124" s="49"/>
      <c r="Q124" s="49"/>
      <c r="R124" s="49"/>
      <c r="S124" s="49"/>
      <c r="T124" s="49"/>
      <c r="U124" s="49"/>
      <c r="V124" s="49"/>
    </row>
    <row r="125" spans="1:22" ht="26.25" customHeight="1" x14ac:dyDescent="0.25">
      <c r="A125" s="165" t="s">
        <v>108</v>
      </c>
      <c r="B125" s="166"/>
      <c r="C125" s="166"/>
      <c r="D125" s="133" t="str">
        <f>IF('Bracing demand'!$DU$2=2,"#N/A",T1)</f>
        <v>#N/A</v>
      </c>
      <c r="E125" s="133"/>
      <c r="F125" s="33" t="s">
        <v>106</v>
      </c>
      <c r="G125" s="168" t="s">
        <v>108</v>
      </c>
      <c r="H125" s="168"/>
      <c r="I125" s="167" t="str">
        <f>IF('Bracing demand'!$DU$2=2,"#N/A",$T$2)</f>
        <v>#N/A</v>
      </c>
      <c r="J125" s="167"/>
      <c r="K125" s="40" t="s">
        <v>106</v>
      </c>
      <c r="M125" s="49"/>
      <c r="N125" s="49"/>
      <c r="O125" s="49"/>
      <c r="P125" s="49"/>
      <c r="Q125" s="49"/>
      <c r="R125" s="49"/>
      <c r="S125" s="49"/>
      <c r="T125" s="49"/>
      <c r="U125" s="49"/>
      <c r="V125" s="49"/>
    </row>
    <row r="126" spans="1:22" ht="26.25" customHeight="1" x14ac:dyDescent="0.25">
      <c r="A126" s="165" t="s">
        <v>109</v>
      </c>
      <c r="B126" s="166"/>
      <c r="C126" s="166"/>
      <c r="D126" s="167">
        <f>ROUND(SUM(H142,H153,H164,H175,H186,H197,H208,H219,H230,H241),0)</f>
        <v>4200</v>
      </c>
      <c r="E126" s="167"/>
      <c r="F126" s="33" t="s">
        <v>106</v>
      </c>
      <c r="G126" s="168" t="s">
        <v>109</v>
      </c>
      <c r="H126" s="168"/>
      <c r="I126" s="167">
        <f>ROUND(SUM(J142,J153,J164,J175,J186,J197,J208,J219,J230,J241),0)</f>
        <v>4200</v>
      </c>
      <c r="J126" s="167"/>
      <c r="K126" s="40" t="s">
        <v>106</v>
      </c>
      <c r="M126" s="49"/>
      <c r="N126" s="49"/>
      <c r="O126" s="49"/>
      <c r="P126" s="49"/>
      <c r="Q126" s="49"/>
      <c r="R126" s="49"/>
      <c r="S126" s="49"/>
      <c r="T126" s="49"/>
      <c r="U126" s="49"/>
      <c r="V126" s="49"/>
    </row>
    <row r="127" spans="1:22" ht="26.25" customHeight="1" x14ac:dyDescent="0.25">
      <c r="A127" s="165" t="s">
        <v>110</v>
      </c>
      <c r="B127" s="166"/>
      <c r="C127" s="166"/>
      <c r="D127" s="167" t="e">
        <f>(D126/D3)*100</f>
        <v>#VALUE!</v>
      </c>
      <c r="E127" s="167"/>
      <c r="F127" s="33" t="s">
        <v>105</v>
      </c>
      <c r="G127" s="168" t="s">
        <v>110</v>
      </c>
      <c r="H127" s="168"/>
      <c r="I127" s="167" t="e">
        <f>(I126/I125)*100</f>
        <v>#VALUE!</v>
      </c>
      <c r="J127" s="167"/>
      <c r="K127" s="40" t="s">
        <v>105</v>
      </c>
      <c r="M127" s="49"/>
      <c r="N127" s="49"/>
      <c r="O127" s="49"/>
      <c r="P127" s="49"/>
      <c r="Q127" s="49"/>
      <c r="R127" s="49"/>
      <c r="S127" s="49"/>
      <c r="T127" s="49"/>
      <c r="U127" s="49"/>
      <c r="V127" s="49"/>
    </row>
    <row r="128" spans="1:22" ht="24.95" customHeight="1" x14ac:dyDescent="0.25">
      <c r="A128" s="159" t="e">
        <f>IF(D127&gt;=100,"Pass","Fail (Not Enough BU's Achieved).")</f>
        <v>#VALUE!</v>
      </c>
      <c r="B128" s="97"/>
      <c r="C128" s="97"/>
      <c r="D128" s="97"/>
      <c r="E128" s="97"/>
      <c r="F128" s="97"/>
      <c r="G128" s="97" t="e">
        <f>IF(I127&gt;=100,"Pass","Fail (Not Enough BU's Achieved).")</f>
        <v>#VALUE!</v>
      </c>
      <c r="H128" s="97"/>
      <c r="I128" s="97"/>
      <c r="J128" s="97"/>
      <c r="K128" s="169"/>
      <c r="M128" s="49"/>
      <c r="N128" s="49"/>
      <c r="O128" s="49"/>
      <c r="P128" s="49"/>
      <c r="Q128" s="49"/>
      <c r="R128" s="49"/>
      <c r="S128" s="49"/>
      <c r="T128" s="49"/>
      <c r="U128" s="49"/>
      <c r="V128" s="49"/>
    </row>
    <row r="129" spans="1:22" ht="24.95" customHeight="1" x14ac:dyDescent="0.25">
      <c r="A129" s="159"/>
      <c r="B129" s="97"/>
      <c r="C129" s="97"/>
      <c r="D129" s="97"/>
      <c r="E129" s="97"/>
      <c r="F129" s="97"/>
      <c r="G129" s="97"/>
      <c r="H129" s="97"/>
      <c r="I129" s="97"/>
      <c r="J129" s="97"/>
      <c r="K129" s="169"/>
      <c r="M129" s="49"/>
      <c r="N129" s="49"/>
      <c r="O129" s="49"/>
      <c r="P129" s="49"/>
      <c r="Q129" s="49"/>
      <c r="R129" s="49"/>
      <c r="S129" s="49"/>
      <c r="T129" s="49"/>
      <c r="U129" s="49"/>
      <c r="V129" s="49"/>
    </row>
    <row r="130" spans="1:22" ht="9.9499999999999993" customHeight="1" x14ac:dyDescent="0.25">
      <c r="A130" s="185" t="s">
        <v>107</v>
      </c>
      <c r="B130" s="186"/>
      <c r="C130" s="186"/>
      <c r="D130" s="187">
        <v>10</v>
      </c>
      <c r="E130" s="102" t="s">
        <v>167</v>
      </c>
      <c r="F130" s="102"/>
      <c r="G130" s="102"/>
      <c r="H130" s="102"/>
      <c r="I130" s="102"/>
      <c r="J130" s="102"/>
      <c r="K130" s="188"/>
      <c r="M130" s="49"/>
      <c r="N130" s="49"/>
      <c r="O130" s="49"/>
      <c r="P130" s="49"/>
      <c r="Q130" s="49"/>
      <c r="R130" s="49"/>
      <c r="S130" s="49"/>
      <c r="T130" s="49"/>
      <c r="U130" s="49"/>
      <c r="V130" s="49"/>
    </row>
    <row r="131" spans="1:22" ht="9.9499999999999993" customHeight="1" x14ac:dyDescent="0.25">
      <c r="A131" s="185"/>
      <c r="B131" s="186"/>
      <c r="C131" s="186"/>
      <c r="D131" s="187"/>
      <c r="E131" s="102"/>
      <c r="F131" s="102"/>
      <c r="G131" s="102"/>
      <c r="H131" s="102"/>
      <c r="I131" s="102"/>
      <c r="J131" s="102"/>
      <c r="K131" s="188"/>
      <c r="M131" s="49"/>
      <c r="N131" s="49"/>
      <c r="O131" s="49"/>
      <c r="P131" s="49"/>
      <c r="Q131" s="49"/>
      <c r="R131" s="49"/>
      <c r="S131" s="49"/>
      <c r="T131" s="49"/>
      <c r="U131" s="49"/>
      <c r="V131" s="49"/>
    </row>
    <row r="132" spans="1:22" ht="9.9499999999999993" customHeight="1" x14ac:dyDescent="0.25">
      <c r="A132" s="185"/>
      <c r="B132" s="186"/>
      <c r="C132" s="186"/>
      <c r="D132" s="187"/>
      <c r="E132" s="102"/>
      <c r="F132" s="102"/>
      <c r="G132" s="102"/>
      <c r="H132" s="102"/>
      <c r="I132" s="102"/>
      <c r="J132" s="102"/>
      <c r="K132" s="188"/>
      <c r="M132" s="49"/>
      <c r="N132" s="49"/>
      <c r="O132" s="49"/>
      <c r="P132" s="49"/>
      <c r="Q132" s="49"/>
      <c r="R132" s="49"/>
      <c r="S132" s="49"/>
      <c r="T132" s="49"/>
      <c r="U132" s="49"/>
      <c r="V132" s="49"/>
    </row>
    <row r="133" spans="1:22" ht="15" customHeight="1" x14ac:dyDescent="0.25">
      <c r="A133" s="223"/>
      <c r="B133" s="224"/>
      <c r="C133" s="224"/>
      <c r="D133" s="224"/>
      <c r="E133" s="224"/>
      <c r="F133" s="224"/>
      <c r="G133" s="224"/>
      <c r="H133" s="224"/>
      <c r="I133" s="224"/>
      <c r="J133" s="224"/>
      <c r="K133" s="225"/>
      <c r="M133" s="49"/>
      <c r="N133" s="49"/>
      <c r="O133" s="49"/>
      <c r="P133" s="49"/>
      <c r="Q133" s="49"/>
      <c r="R133" s="49"/>
      <c r="S133" s="49"/>
      <c r="T133" s="49"/>
      <c r="U133" s="49"/>
      <c r="V133" s="49"/>
    </row>
    <row r="134" spans="1:22" ht="15" customHeight="1" x14ac:dyDescent="0.25">
      <c r="A134" s="222"/>
      <c r="B134" s="56"/>
      <c r="C134" s="56"/>
      <c r="D134" s="56"/>
      <c r="E134" s="56"/>
      <c r="F134" s="56"/>
      <c r="G134" s="56"/>
      <c r="H134" s="97" t="s">
        <v>103</v>
      </c>
      <c r="I134" s="97"/>
      <c r="J134" s="97" t="s">
        <v>104</v>
      </c>
      <c r="K134" s="169"/>
      <c r="M134" s="49"/>
      <c r="N134" s="49"/>
      <c r="O134" s="49"/>
      <c r="P134" s="49"/>
      <c r="Q134" s="49"/>
      <c r="R134" s="49"/>
      <c r="S134" s="49"/>
      <c r="T134" s="49"/>
      <c r="U134" s="49"/>
      <c r="V134" s="49"/>
    </row>
    <row r="135" spans="1:22" ht="15" customHeight="1" x14ac:dyDescent="0.25">
      <c r="A135" s="42" t="s">
        <v>83</v>
      </c>
      <c r="B135" s="33" t="s">
        <v>198</v>
      </c>
      <c r="C135" s="34" t="s">
        <v>119</v>
      </c>
      <c r="D135" s="33" t="s">
        <v>87</v>
      </c>
      <c r="E135" s="33" t="s">
        <v>84</v>
      </c>
      <c r="F135" s="33" t="s">
        <v>85</v>
      </c>
      <c r="G135" s="56"/>
      <c r="H135" s="24" t="s">
        <v>165</v>
      </c>
      <c r="I135" s="24" t="s">
        <v>169</v>
      </c>
      <c r="J135" s="24" t="s">
        <v>165</v>
      </c>
      <c r="K135" s="41" t="s">
        <v>169</v>
      </c>
      <c r="V135" s="36" t="s">
        <v>164</v>
      </c>
    </row>
    <row r="136" spans="1:22" ht="15" customHeight="1" x14ac:dyDescent="0.25">
      <c r="A136" s="236" t="s">
        <v>185</v>
      </c>
      <c r="B136" s="20" t="s">
        <v>199</v>
      </c>
      <c r="C136" s="19">
        <v>100</v>
      </c>
      <c r="D136" s="17">
        <v>0</v>
      </c>
      <c r="E136" s="18" t="s">
        <v>159</v>
      </c>
      <c r="F136" s="18"/>
      <c r="G136" s="56"/>
      <c r="H136" s="37">
        <f>IFERROR(VLOOKUP(E136,'Product Spec'!$O$1:$R$8,3,FALSE)," ")</f>
        <v>42</v>
      </c>
      <c r="I136" s="37">
        <f>IFERROR(C136*H136*P136," ")</f>
        <v>4200</v>
      </c>
      <c r="J136" s="37">
        <f>IFERROR(VLOOKUP(E136,'Product Spec'!$O$1:$R$8,4,FALSE)," ")</f>
        <v>42</v>
      </c>
      <c r="K136" s="43">
        <f>IFERROR(C136*J136*P136," ")</f>
        <v>4200</v>
      </c>
      <c r="P136" s="36">
        <f t="shared" ref="P136:P141" si="39">IF(OR(D136=30,D136=45,D136=60),Q136,COS(R136))</f>
        <v>1</v>
      </c>
      <c r="Q136" s="36" t="e" cm="1">
        <f t="array" ref="Q136">_xlfn.IFS(D136=30,0.87,D136=45,0.7,D136=60,0.5)</f>
        <v>#N/A</v>
      </c>
      <c r="R136" s="36">
        <f t="shared" ref="R136:R141" si="40">(PI()/180)*D136</f>
        <v>0</v>
      </c>
      <c r="S136" s="36" t="e">
        <f>H142/H143</f>
        <v>#VALUE!</v>
      </c>
      <c r="V136" s="36">
        <f xml:space="preserve"> C143*15</f>
        <v>0</v>
      </c>
    </row>
    <row r="137" spans="1:22" ht="15" customHeight="1" x14ac:dyDescent="0.25">
      <c r="A137" s="236"/>
      <c r="B137" s="20" t="s">
        <v>200</v>
      </c>
      <c r="C137" s="19"/>
      <c r="D137" s="17"/>
      <c r="E137" s="18"/>
      <c r="F137" s="18"/>
      <c r="G137" s="56"/>
      <c r="H137" s="37" t="str">
        <f>IFERROR(VLOOKUP(E137,'Product Spec'!$O$1:$R$8,3,FALSE)," ")</f>
        <v xml:space="preserve"> </v>
      </c>
      <c r="I137" s="37" t="str">
        <f t="shared" ref="I137:I141" si="41">IFERROR(C137*H137*P137," ")</f>
        <v xml:space="preserve"> </v>
      </c>
      <c r="J137" s="37" t="str">
        <f>IFERROR(VLOOKUP(E137,'Product Spec'!$O$1:$R$8,4,FALSE)," ")</f>
        <v xml:space="preserve"> </v>
      </c>
      <c r="K137" s="43" t="str">
        <f t="shared" ref="K137:K141" si="42">IFERROR(C137*J137*P137," ")</f>
        <v xml:space="preserve"> </v>
      </c>
      <c r="P137" s="36">
        <f t="shared" si="39"/>
        <v>1</v>
      </c>
      <c r="Q137" s="36" t="e" cm="1">
        <f t="array" ref="Q137">_xlfn.IFS(D137=30,0.87,D137=45,0.7,D137=60,0.5)</f>
        <v>#N/A</v>
      </c>
      <c r="R137" s="36">
        <f t="shared" si="40"/>
        <v>0</v>
      </c>
      <c r="S137" s="36" t="e">
        <f>J142/J143</f>
        <v>#VALUE!</v>
      </c>
    </row>
    <row r="138" spans="1:22" ht="15" customHeight="1" x14ac:dyDescent="0.25">
      <c r="A138" s="236"/>
      <c r="B138" s="20" t="s">
        <v>201</v>
      </c>
      <c r="C138" s="19"/>
      <c r="D138" s="19"/>
      <c r="E138" s="18"/>
      <c r="F138" s="18"/>
      <c r="G138" s="56"/>
      <c r="H138" s="37" t="str">
        <f>IFERROR(VLOOKUP(E138,'Product Spec'!$O$1:$R$8,3,FALSE)," ")</f>
        <v xml:space="preserve"> </v>
      </c>
      <c r="I138" s="37" t="str">
        <f t="shared" si="41"/>
        <v xml:space="preserve"> </v>
      </c>
      <c r="J138" s="37" t="str">
        <f>IFERROR(VLOOKUP(E138,'Product Spec'!$O$1:$R$8,4,FALSE)," ")</f>
        <v xml:space="preserve"> </v>
      </c>
      <c r="K138" s="43" t="str">
        <f t="shared" si="42"/>
        <v xml:space="preserve"> </v>
      </c>
      <c r="P138" s="36">
        <f t="shared" si="39"/>
        <v>1</v>
      </c>
      <c r="Q138" s="36" t="e" cm="1">
        <f t="array" ref="Q138">_xlfn.IFS(D138=30,0.87,D138=45,0.7,D138=60,0.5)</f>
        <v>#N/A</v>
      </c>
      <c r="R138" s="36">
        <f t="shared" si="40"/>
        <v>0</v>
      </c>
    </row>
    <row r="139" spans="1:22" ht="15" customHeight="1" x14ac:dyDescent="0.25">
      <c r="A139" s="236"/>
      <c r="B139" s="20" t="s">
        <v>202</v>
      </c>
      <c r="C139" s="19"/>
      <c r="D139" s="17"/>
      <c r="E139" s="18"/>
      <c r="F139" s="18"/>
      <c r="G139" s="56"/>
      <c r="H139" s="37" t="str">
        <f>IFERROR(VLOOKUP(E139,'Product Spec'!$O$1:$R$8,3,FALSE)," ")</f>
        <v xml:space="preserve"> </v>
      </c>
      <c r="I139" s="37" t="str">
        <f t="shared" si="41"/>
        <v xml:space="preserve"> </v>
      </c>
      <c r="J139" s="37" t="str">
        <f>IFERROR(VLOOKUP(E139,'Product Spec'!$O$1:$R$8,4,FALSE)," ")</f>
        <v xml:space="preserve"> </v>
      </c>
      <c r="K139" s="43" t="str">
        <f t="shared" si="42"/>
        <v xml:space="preserve"> </v>
      </c>
      <c r="P139" s="36">
        <f t="shared" si="39"/>
        <v>1</v>
      </c>
      <c r="Q139" s="36" t="e" cm="1">
        <f t="array" ref="Q139">_xlfn.IFS(D139=30,0.87,D139=45,0.7,D139=60,0.5)</f>
        <v>#N/A</v>
      </c>
      <c r="R139" s="36">
        <f t="shared" si="40"/>
        <v>0</v>
      </c>
    </row>
    <row r="140" spans="1:22" ht="15" customHeight="1" x14ac:dyDescent="0.25">
      <c r="A140" s="236"/>
      <c r="B140" s="20" t="s">
        <v>203</v>
      </c>
      <c r="C140" s="19"/>
      <c r="D140" s="17"/>
      <c r="E140" s="18"/>
      <c r="F140" s="18"/>
      <c r="G140" s="56"/>
      <c r="H140" s="37" t="str">
        <f>IFERROR(VLOOKUP(E140,'Product Spec'!$O$1:$R$8,3,FALSE)," ")</f>
        <v xml:space="preserve"> </v>
      </c>
      <c r="I140" s="37" t="str">
        <f t="shared" si="41"/>
        <v xml:space="preserve"> </v>
      </c>
      <c r="J140" s="37" t="str">
        <f>IFERROR(VLOOKUP(E140,'Product Spec'!$O$1:$R$8,4,FALSE)," ")</f>
        <v xml:space="preserve"> </v>
      </c>
      <c r="K140" s="43" t="str">
        <f t="shared" si="42"/>
        <v xml:space="preserve"> </v>
      </c>
      <c r="P140" s="36">
        <f t="shared" si="39"/>
        <v>1</v>
      </c>
      <c r="Q140" s="36" t="e" cm="1">
        <f t="array" ref="Q140">_xlfn.IFS(D140=30,0.87,D140=45,0.7,D140=60,0.5)</f>
        <v>#N/A</v>
      </c>
      <c r="R140" s="36">
        <f t="shared" si="40"/>
        <v>0</v>
      </c>
    </row>
    <row r="141" spans="1:22" ht="15" customHeight="1" x14ac:dyDescent="0.25">
      <c r="A141" s="236"/>
      <c r="B141" s="20" t="s">
        <v>204</v>
      </c>
      <c r="C141" s="19"/>
      <c r="D141" s="17"/>
      <c r="E141" s="18"/>
      <c r="F141" s="18"/>
      <c r="G141" s="56"/>
      <c r="H141" s="37" t="str">
        <f>IFERROR(VLOOKUP(E141,'Product Spec'!$O$1:$R$8,3,FALSE)," ")</f>
        <v xml:space="preserve"> </v>
      </c>
      <c r="I141" s="37" t="str">
        <f t="shared" si="41"/>
        <v xml:space="preserve"> </v>
      </c>
      <c r="J141" s="37" t="str">
        <f>IFERROR(VLOOKUP(E141,'Product Spec'!$O$1:$R$8,4,FALSE)," ")</f>
        <v xml:space="preserve"> </v>
      </c>
      <c r="K141" s="43" t="str">
        <f t="shared" si="42"/>
        <v xml:space="preserve"> </v>
      </c>
      <c r="P141" s="36">
        <f t="shared" si="39"/>
        <v>1</v>
      </c>
      <c r="Q141" s="36" t="e" cm="1">
        <f t="array" ref="Q141">_xlfn.IFS(D141=30,0.87,D141=45,0.7,D141=60,0.5)</f>
        <v>#N/A</v>
      </c>
      <c r="R141" s="36">
        <f t="shared" si="40"/>
        <v>0</v>
      </c>
    </row>
    <row r="142" spans="1:22" ht="15" customHeight="1" x14ac:dyDescent="0.25">
      <c r="A142" s="236"/>
      <c r="B142" s="98" t="s">
        <v>170</v>
      </c>
      <c r="C142" s="99"/>
      <c r="D142" s="99"/>
      <c r="E142" s="99"/>
      <c r="F142" s="99"/>
      <c r="G142" s="100"/>
      <c r="H142" s="217" cm="1">
        <f t="array" ref="H142">SUM(IFERROR(I136:I141,0))</f>
        <v>4200</v>
      </c>
      <c r="I142" s="217"/>
      <c r="J142" s="217" cm="1">
        <f t="array" ref="J142">SUM(IFERROR(K136:K141,0))</f>
        <v>4200</v>
      </c>
      <c r="K142" s="218"/>
    </row>
    <row r="143" spans="1:22" ht="15" customHeight="1" x14ac:dyDescent="0.25">
      <c r="A143" s="44" t="s">
        <v>168</v>
      </c>
      <c r="B143" s="160"/>
      <c r="C143" s="161"/>
      <c r="D143" s="99" t="s">
        <v>166</v>
      </c>
      <c r="E143" s="99"/>
      <c r="F143" s="99"/>
      <c r="G143" s="100"/>
      <c r="H143" s="147" t="e">
        <f>MAX(100,(0.5*$D$125)/$D$130,V136)</f>
        <v>#VALUE!</v>
      </c>
      <c r="I143" s="148"/>
      <c r="J143" s="147" t="e">
        <f>MAX(100,(0.5*$I$125)/$D$130,V136)</f>
        <v>#VALUE!</v>
      </c>
      <c r="K143" s="149"/>
    </row>
    <row r="144" spans="1:22" s="49" customFormat="1" ht="15" customHeight="1" x14ac:dyDescent="0.25">
      <c r="A144" s="208" t="e">
        <f>IF(OR(S136&lt;1,S137&lt;1),"Warning: Doesn’t meet the minimum BU's requirement per line."," ")</f>
        <v>#VALUE!</v>
      </c>
      <c r="B144" s="209"/>
      <c r="C144" s="209"/>
      <c r="D144" s="209"/>
      <c r="E144" s="209"/>
      <c r="F144" s="209"/>
      <c r="G144" s="209"/>
      <c r="H144" s="209"/>
      <c r="I144" s="209"/>
      <c r="J144" s="209"/>
      <c r="K144" s="210"/>
      <c r="L144" s="51"/>
    </row>
    <row r="145" spans="1:22" ht="15" customHeight="1" x14ac:dyDescent="0.25">
      <c r="A145" s="214"/>
      <c r="B145" s="215"/>
      <c r="C145" s="215"/>
      <c r="D145" s="215"/>
      <c r="E145" s="215"/>
      <c r="F145" s="215"/>
      <c r="G145" s="215"/>
      <c r="H145" s="215"/>
      <c r="I145" s="215"/>
      <c r="J145" s="215"/>
      <c r="K145" s="216"/>
      <c r="M145" s="49"/>
      <c r="N145" s="49"/>
      <c r="O145" s="49"/>
      <c r="P145" s="49"/>
      <c r="Q145" s="49"/>
      <c r="R145" s="49"/>
      <c r="S145" s="49"/>
      <c r="T145" s="49"/>
      <c r="U145" s="49"/>
      <c r="V145" s="49"/>
    </row>
    <row r="146" spans="1:22" ht="15" customHeight="1" x14ac:dyDescent="0.25">
      <c r="A146" s="42" t="s">
        <v>83</v>
      </c>
      <c r="B146" s="33" t="s">
        <v>198</v>
      </c>
      <c r="C146" s="34" t="s">
        <v>86</v>
      </c>
      <c r="D146" s="33" t="s">
        <v>87</v>
      </c>
      <c r="E146" s="33" t="s">
        <v>84</v>
      </c>
      <c r="F146" s="33" t="s">
        <v>85</v>
      </c>
      <c r="G146" s="56"/>
      <c r="H146" s="24" t="s">
        <v>165</v>
      </c>
      <c r="I146" s="24" t="s">
        <v>169</v>
      </c>
      <c r="J146" s="24" t="s">
        <v>165</v>
      </c>
      <c r="K146" s="41" t="s">
        <v>169</v>
      </c>
      <c r="V146" s="36" t="s">
        <v>164</v>
      </c>
    </row>
    <row r="147" spans="1:22" ht="15" customHeight="1" x14ac:dyDescent="0.25">
      <c r="A147" s="236" t="s">
        <v>186</v>
      </c>
      <c r="B147" s="20" t="s">
        <v>199</v>
      </c>
      <c r="C147" s="19"/>
      <c r="D147" s="17"/>
      <c r="E147" s="18" t="s">
        <v>120</v>
      </c>
      <c r="F147" s="18"/>
      <c r="G147" s="56"/>
      <c r="H147" s="37">
        <f>IFERROR(VLOOKUP(E147,'Product Spec'!$O$1:$R$8,3,FALSE)," ")</f>
        <v>120</v>
      </c>
      <c r="I147" s="37">
        <f>IFERROR(C147*H147*P147," ")</f>
        <v>0</v>
      </c>
      <c r="J147" s="37">
        <f>IFERROR(VLOOKUP(E147,'Product Spec'!$O$1:$R$8,4,FALSE)," ")</f>
        <v>160</v>
      </c>
      <c r="K147" s="43">
        <f>IFERROR(C147*J147*P147," ")</f>
        <v>0</v>
      </c>
      <c r="P147" s="36">
        <f>IF(OR(D147=30,D147=45,D147=60),Q147,COS(R147))</f>
        <v>1</v>
      </c>
      <c r="Q147" s="36" t="e" cm="1">
        <f t="array" ref="Q147">_xlfn.IFS(D147=30,0.87,D147=45,0.7,D147=60,0.5)</f>
        <v>#N/A</v>
      </c>
      <c r="R147" s="36">
        <f>(PI()/180)*D147</f>
        <v>0</v>
      </c>
      <c r="S147" s="36" t="e">
        <f>H153/H154</f>
        <v>#VALUE!</v>
      </c>
      <c r="V147" s="36">
        <f xml:space="preserve"> C154*15</f>
        <v>0</v>
      </c>
    </row>
    <row r="148" spans="1:22" ht="15" customHeight="1" x14ac:dyDescent="0.25">
      <c r="A148" s="236"/>
      <c r="B148" s="20" t="s">
        <v>200</v>
      </c>
      <c r="C148" s="19"/>
      <c r="D148" s="17"/>
      <c r="E148" s="18"/>
      <c r="F148" s="18"/>
      <c r="G148" s="56"/>
      <c r="H148" s="37" t="str">
        <f>IFERROR(VLOOKUP(E148,'Product Spec'!$O$1:$R$8,3,FALSE)," ")</f>
        <v xml:space="preserve"> </v>
      </c>
      <c r="I148" s="37" t="str">
        <f t="shared" ref="I148:I152" si="43">IFERROR(C148*H148*P148," ")</f>
        <v xml:space="preserve"> </v>
      </c>
      <c r="J148" s="37" t="str">
        <f>IFERROR(VLOOKUP(E148,'Product Spec'!$O$1:$R$8,4,FALSE)," ")</f>
        <v xml:space="preserve"> </v>
      </c>
      <c r="K148" s="43" t="str">
        <f t="shared" ref="K148:K152" si="44">IFERROR(C148*J148*P148," ")</f>
        <v xml:space="preserve"> </v>
      </c>
      <c r="P148" s="36">
        <f t="shared" ref="P148:P152" si="45">IF(OR(D148=30,D148=45,D148=60),Q148,COS(R148))</f>
        <v>1</v>
      </c>
      <c r="Q148" s="36" t="e" cm="1">
        <f t="array" ref="Q148">_xlfn.IFS(D148=30,0.87,D148=45,0.7,D148=60,0.5)</f>
        <v>#N/A</v>
      </c>
      <c r="R148" s="36">
        <f t="shared" ref="R148:R152" si="46">(PI()/180)*D148</f>
        <v>0</v>
      </c>
      <c r="S148" s="36" t="e">
        <f>J153/J154</f>
        <v>#VALUE!</v>
      </c>
    </row>
    <row r="149" spans="1:22" ht="15" customHeight="1" x14ac:dyDescent="0.25">
      <c r="A149" s="236"/>
      <c r="B149" s="20" t="s">
        <v>201</v>
      </c>
      <c r="C149" s="19"/>
      <c r="D149" s="17"/>
      <c r="E149" s="18"/>
      <c r="F149" s="18"/>
      <c r="G149" s="56"/>
      <c r="H149" s="37" t="str">
        <f>IFERROR(VLOOKUP(E149,'Product Spec'!$O$1:$R$8,3,FALSE)," ")</f>
        <v xml:space="preserve"> </v>
      </c>
      <c r="I149" s="37" t="str">
        <f t="shared" si="43"/>
        <v xml:space="preserve"> </v>
      </c>
      <c r="J149" s="37" t="str">
        <f>IFERROR(VLOOKUP(E149,'Product Spec'!$O$1:$R$8,4,FALSE)," ")</f>
        <v xml:space="preserve"> </v>
      </c>
      <c r="K149" s="43" t="str">
        <f t="shared" si="44"/>
        <v xml:space="preserve"> </v>
      </c>
      <c r="P149" s="36">
        <f t="shared" si="45"/>
        <v>1</v>
      </c>
      <c r="Q149" s="36" t="e" cm="1">
        <f t="array" ref="Q149">_xlfn.IFS(D149=30,0.87,D149=45,0.7,D149=60,0.5)</f>
        <v>#N/A</v>
      </c>
      <c r="R149" s="36">
        <f t="shared" si="46"/>
        <v>0</v>
      </c>
    </row>
    <row r="150" spans="1:22" ht="15" customHeight="1" x14ac:dyDescent="0.25">
      <c r="A150" s="236"/>
      <c r="B150" s="20" t="s">
        <v>202</v>
      </c>
      <c r="C150" s="19"/>
      <c r="D150" s="17"/>
      <c r="E150" s="18"/>
      <c r="F150" s="18"/>
      <c r="G150" s="56"/>
      <c r="H150" s="37" t="str">
        <f>IFERROR(VLOOKUP(E150,'Product Spec'!$O$1:$R$8,3,FALSE)," ")</f>
        <v xml:space="preserve"> </v>
      </c>
      <c r="I150" s="37" t="str">
        <f t="shared" si="43"/>
        <v xml:space="preserve"> </v>
      </c>
      <c r="J150" s="37" t="str">
        <f>IFERROR(VLOOKUP(E150,'Product Spec'!$O$1:$R$8,4,FALSE)," ")</f>
        <v xml:space="preserve"> </v>
      </c>
      <c r="K150" s="43" t="str">
        <f t="shared" si="44"/>
        <v xml:space="preserve"> </v>
      </c>
      <c r="P150" s="36">
        <f t="shared" si="45"/>
        <v>1</v>
      </c>
      <c r="Q150" s="36" t="e" cm="1">
        <f t="array" ref="Q150">_xlfn.IFS(D150=30,0.87,D150=45,0.7,D150=60,0.5)</f>
        <v>#N/A</v>
      </c>
      <c r="R150" s="36">
        <f t="shared" si="46"/>
        <v>0</v>
      </c>
    </row>
    <row r="151" spans="1:22" ht="15" customHeight="1" x14ac:dyDescent="0.25">
      <c r="A151" s="236"/>
      <c r="B151" s="20" t="s">
        <v>203</v>
      </c>
      <c r="C151" s="19"/>
      <c r="D151" s="17"/>
      <c r="E151" s="18"/>
      <c r="F151" s="18"/>
      <c r="G151" s="56"/>
      <c r="H151" s="37" t="str">
        <f>IFERROR(VLOOKUP(E151,'Product Spec'!$O$1:$R$8,3,FALSE)," ")</f>
        <v xml:space="preserve"> </v>
      </c>
      <c r="I151" s="37" t="str">
        <f t="shared" si="43"/>
        <v xml:space="preserve"> </v>
      </c>
      <c r="J151" s="37" t="str">
        <f>IFERROR(VLOOKUP(E151,'Product Spec'!$O$1:$R$8,4,FALSE)," ")</f>
        <v xml:space="preserve"> </v>
      </c>
      <c r="K151" s="43" t="str">
        <f t="shared" si="44"/>
        <v xml:space="preserve"> </v>
      </c>
      <c r="P151" s="36">
        <f t="shared" si="45"/>
        <v>1</v>
      </c>
      <c r="Q151" s="36" t="e" cm="1">
        <f t="array" ref="Q151">_xlfn.IFS(D151=30,0.87,D151=45,0.7,D151=60,0.5)</f>
        <v>#N/A</v>
      </c>
      <c r="R151" s="36">
        <f t="shared" si="46"/>
        <v>0</v>
      </c>
    </row>
    <row r="152" spans="1:22" ht="15" customHeight="1" x14ac:dyDescent="0.25">
      <c r="A152" s="236"/>
      <c r="B152" s="20" t="s">
        <v>204</v>
      </c>
      <c r="C152" s="19"/>
      <c r="D152" s="17"/>
      <c r="E152" s="18"/>
      <c r="F152" s="18"/>
      <c r="G152" s="56"/>
      <c r="H152" s="37" t="str">
        <f>IFERROR(VLOOKUP(E152,'Product Spec'!$O$1:$R$8,3,FALSE)," ")</f>
        <v xml:space="preserve"> </v>
      </c>
      <c r="I152" s="37" t="str">
        <f t="shared" si="43"/>
        <v xml:space="preserve"> </v>
      </c>
      <c r="J152" s="37" t="str">
        <f>IFERROR(VLOOKUP(E152,'Product Spec'!$O$1:$R$8,4,FALSE)," ")</f>
        <v xml:space="preserve"> </v>
      </c>
      <c r="K152" s="43" t="str">
        <f t="shared" si="44"/>
        <v xml:space="preserve"> </v>
      </c>
      <c r="P152" s="36">
        <f t="shared" si="45"/>
        <v>1</v>
      </c>
      <c r="Q152" s="36" t="e" cm="1">
        <f t="array" ref="Q152">_xlfn.IFS(D152=30,0.87,D152=45,0.7,D152=60,0.5)</f>
        <v>#N/A</v>
      </c>
      <c r="R152" s="36">
        <f t="shared" si="46"/>
        <v>0</v>
      </c>
    </row>
    <row r="153" spans="1:22" ht="15" customHeight="1" x14ac:dyDescent="0.25">
      <c r="A153" s="236"/>
      <c r="B153" s="98" t="s">
        <v>170</v>
      </c>
      <c r="C153" s="99"/>
      <c r="D153" s="99"/>
      <c r="E153" s="99"/>
      <c r="F153" s="99"/>
      <c r="G153" s="100"/>
      <c r="H153" s="217" cm="1">
        <f t="array" ref="H153">IF(D130&lt;2,0,SUM(IFERROR(I147:I152,0)))</f>
        <v>0</v>
      </c>
      <c r="I153" s="217"/>
      <c r="J153" s="217" cm="1">
        <f t="array" ref="J153">IF(D130&lt;2,0,SUM(IFERROR(K147:K152,0)))</f>
        <v>0</v>
      </c>
      <c r="K153" s="218"/>
    </row>
    <row r="154" spans="1:22" ht="15" customHeight="1" x14ac:dyDescent="0.25">
      <c r="A154" s="44" t="s">
        <v>168</v>
      </c>
      <c r="B154" s="160"/>
      <c r="C154" s="161"/>
      <c r="D154" s="99" t="s">
        <v>166</v>
      </c>
      <c r="E154" s="99"/>
      <c r="F154" s="99"/>
      <c r="G154" s="100"/>
      <c r="H154" s="147" t="e">
        <f>MAX(100,(0.5*$D$125)/$D$130,V147)</f>
        <v>#VALUE!</v>
      </c>
      <c r="I154" s="148"/>
      <c r="J154" s="147" t="e">
        <f>MAX(100,(0.5*$I$125)/$D$130,V147)</f>
        <v>#VALUE!</v>
      </c>
      <c r="K154" s="149"/>
    </row>
    <row r="155" spans="1:22" s="49" customFormat="1" ht="15" customHeight="1" x14ac:dyDescent="0.25">
      <c r="A155" s="208" t="e">
        <f>IF(OR(S147&lt;1,S148&lt;1),"Warning: Doesn’t meet the minimum BU's requirement per line."," ")</f>
        <v>#VALUE!</v>
      </c>
      <c r="B155" s="209"/>
      <c r="C155" s="209"/>
      <c r="D155" s="209"/>
      <c r="E155" s="209"/>
      <c r="F155" s="209"/>
      <c r="G155" s="209"/>
      <c r="H155" s="209"/>
      <c r="I155" s="209"/>
      <c r="J155" s="209"/>
      <c r="K155" s="210"/>
      <c r="L155" s="51"/>
    </row>
    <row r="156" spans="1:22" ht="15" customHeight="1" x14ac:dyDescent="0.25">
      <c r="A156" s="214"/>
      <c r="B156" s="215"/>
      <c r="C156" s="215"/>
      <c r="D156" s="215"/>
      <c r="E156" s="215"/>
      <c r="F156" s="215"/>
      <c r="G156" s="215"/>
      <c r="H156" s="215"/>
      <c r="I156" s="215"/>
      <c r="J156" s="215"/>
      <c r="K156" s="216"/>
      <c r="M156" s="49"/>
      <c r="N156" s="49"/>
      <c r="O156" s="49"/>
      <c r="P156" s="49"/>
      <c r="Q156" s="49"/>
      <c r="R156" s="49"/>
      <c r="S156" s="49"/>
      <c r="T156" s="49"/>
      <c r="U156" s="49"/>
      <c r="V156" s="49"/>
    </row>
    <row r="157" spans="1:22" ht="15" customHeight="1" x14ac:dyDescent="0.25">
      <c r="A157" s="42" t="s">
        <v>83</v>
      </c>
      <c r="B157" s="33" t="s">
        <v>198</v>
      </c>
      <c r="C157" s="34" t="s">
        <v>86</v>
      </c>
      <c r="D157" s="33" t="s">
        <v>87</v>
      </c>
      <c r="E157" s="33" t="s">
        <v>84</v>
      </c>
      <c r="F157" s="33" t="s">
        <v>85</v>
      </c>
      <c r="G157" s="56"/>
      <c r="H157" s="24" t="s">
        <v>165</v>
      </c>
      <c r="I157" s="24" t="s">
        <v>169</v>
      </c>
      <c r="J157" s="24" t="s">
        <v>165</v>
      </c>
      <c r="K157" s="41" t="s">
        <v>169</v>
      </c>
      <c r="V157" s="36" t="s">
        <v>164</v>
      </c>
    </row>
    <row r="158" spans="1:22" ht="15" customHeight="1" x14ac:dyDescent="0.25">
      <c r="A158" s="236" t="s">
        <v>187</v>
      </c>
      <c r="B158" s="20" t="s">
        <v>199</v>
      </c>
      <c r="C158" s="19"/>
      <c r="D158" s="17"/>
      <c r="E158" s="18" t="s">
        <v>120</v>
      </c>
      <c r="F158" s="18"/>
      <c r="G158" s="56"/>
      <c r="H158" s="37">
        <f>IFERROR(VLOOKUP(E158,'Product Spec'!$O$1:$R$8,3,FALSE)," ")</f>
        <v>120</v>
      </c>
      <c r="I158" s="37">
        <f>IFERROR(C158*H158*P158," ")</f>
        <v>0</v>
      </c>
      <c r="J158" s="37">
        <f>IFERROR(VLOOKUP(E158,'Product Spec'!$O$1:$R$8,4,FALSE)," ")</f>
        <v>160</v>
      </c>
      <c r="K158" s="43">
        <f>IFERROR(C158*J158*P158," ")</f>
        <v>0</v>
      </c>
      <c r="P158" s="36">
        <f>IF(OR(D158=30,D158=45,D158=60),Q158,COS(R158))</f>
        <v>1</v>
      </c>
      <c r="Q158" s="36" t="e" cm="1">
        <f t="array" ref="Q158">_xlfn.IFS(D158=30,0.87,D158=45,0.7,D158=60,0.5)</f>
        <v>#N/A</v>
      </c>
      <c r="R158" s="36">
        <f>(PI()/180)*D158</f>
        <v>0</v>
      </c>
      <c r="S158" s="36" t="e">
        <f>H164/H165</f>
        <v>#VALUE!</v>
      </c>
      <c r="V158" s="36">
        <f xml:space="preserve"> C165*15</f>
        <v>0</v>
      </c>
    </row>
    <row r="159" spans="1:22" ht="15" customHeight="1" x14ac:dyDescent="0.25">
      <c r="A159" s="236"/>
      <c r="B159" s="20" t="s">
        <v>200</v>
      </c>
      <c r="C159" s="19"/>
      <c r="D159" s="17"/>
      <c r="E159" s="18"/>
      <c r="F159" s="18"/>
      <c r="G159" s="56"/>
      <c r="H159" s="37" t="str">
        <f>IFERROR(VLOOKUP(E159,'Product Spec'!$O$1:$R$8,3,FALSE)," ")</f>
        <v xml:space="preserve"> </v>
      </c>
      <c r="I159" s="37" t="str">
        <f t="shared" ref="I159:I163" si="47">IFERROR(C159*H159*P159," ")</f>
        <v xml:space="preserve"> </v>
      </c>
      <c r="J159" s="37" t="str">
        <f>IFERROR(VLOOKUP(E159,'Product Spec'!$O$1:$R$8,4,FALSE)," ")</f>
        <v xml:space="preserve"> </v>
      </c>
      <c r="K159" s="43" t="str">
        <f t="shared" ref="K159:K163" si="48">IFERROR(C159*J159*P159," ")</f>
        <v xml:space="preserve"> </v>
      </c>
      <c r="P159" s="36">
        <f t="shared" ref="P159:P163" si="49">IF(OR(D159=30,D159=45,D159=60),Q159,COS(R159))</f>
        <v>1</v>
      </c>
      <c r="Q159" s="36" t="e" cm="1">
        <f t="array" ref="Q159">_xlfn.IFS(D159=30,0.87,D159=45,0.7,D159=60,0.5)</f>
        <v>#N/A</v>
      </c>
      <c r="R159" s="36">
        <f t="shared" ref="R159:R163" si="50">(PI()/180)*D159</f>
        <v>0</v>
      </c>
      <c r="S159" s="36" t="e">
        <f>J164/J165</f>
        <v>#VALUE!</v>
      </c>
    </row>
    <row r="160" spans="1:22" ht="15" customHeight="1" x14ac:dyDescent="0.25">
      <c r="A160" s="236"/>
      <c r="B160" s="20" t="s">
        <v>201</v>
      </c>
      <c r="C160" s="19"/>
      <c r="D160" s="17"/>
      <c r="E160" s="18"/>
      <c r="F160" s="18"/>
      <c r="G160" s="56"/>
      <c r="H160" s="37" t="str">
        <f>IFERROR(VLOOKUP(E160,'Product Spec'!$O$1:$R$8,3,FALSE)," ")</f>
        <v xml:space="preserve"> </v>
      </c>
      <c r="I160" s="37" t="str">
        <f t="shared" si="47"/>
        <v xml:space="preserve"> </v>
      </c>
      <c r="J160" s="37" t="str">
        <f>IFERROR(VLOOKUP(E160,'Product Spec'!$O$1:$R$8,4,FALSE)," ")</f>
        <v xml:space="preserve"> </v>
      </c>
      <c r="K160" s="43" t="str">
        <f t="shared" si="48"/>
        <v xml:space="preserve"> </v>
      </c>
      <c r="P160" s="36">
        <f t="shared" si="49"/>
        <v>1</v>
      </c>
      <c r="Q160" s="36" t="e" cm="1">
        <f t="array" ref="Q160">_xlfn.IFS(D160=30,0.87,D160=45,0.7,D160=60,0.5)</f>
        <v>#N/A</v>
      </c>
      <c r="R160" s="36">
        <f t="shared" si="50"/>
        <v>0</v>
      </c>
    </row>
    <row r="161" spans="1:22" ht="15" customHeight="1" x14ac:dyDescent="0.25">
      <c r="A161" s="236"/>
      <c r="B161" s="20" t="s">
        <v>202</v>
      </c>
      <c r="C161" s="19"/>
      <c r="D161" s="17"/>
      <c r="E161" s="18"/>
      <c r="F161" s="18"/>
      <c r="G161" s="56"/>
      <c r="H161" s="37" t="str">
        <f>IFERROR(VLOOKUP(E161,'Product Spec'!$O$1:$R$8,3,FALSE)," ")</f>
        <v xml:space="preserve"> </v>
      </c>
      <c r="I161" s="37" t="str">
        <f t="shared" si="47"/>
        <v xml:space="preserve"> </v>
      </c>
      <c r="J161" s="37" t="str">
        <f>IFERROR(VLOOKUP(E161,'Product Spec'!$O$1:$R$8,4,FALSE)," ")</f>
        <v xml:space="preserve"> </v>
      </c>
      <c r="K161" s="43" t="str">
        <f t="shared" si="48"/>
        <v xml:space="preserve"> </v>
      </c>
      <c r="P161" s="36">
        <f t="shared" si="49"/>
        <v>1</v>
      </c>
      <c r="Q161" s="36" t="e" cm="1">
        <f t="array" ref="Q161">_xlfn.IFS(D161=30,0.87,D161=45,0.7,D161=60,0.5)</f>
        <v>#N/A</v>
      </c>
      <c r="R161" s="36">
        <f t="shared" si="50"/>
        <v>0</v>
      </c>
    </row>
    <row r="162" spans="1:22" ht="15" customHeight="1" x14ac:dyDescent="0.25">
      <c r="A162" s="236"/>
      <c r="B162" s="20" t="s">
        <v>203</v>
      </c>
      <c r="C162" s="19"/>
      <c r="D162" s="17"/>
      <c r="E162" s="18"/>
      <c r="F162" s="18"/>
      <c r="G162" s="56"/>
      <c r="H162" s="37" t="str">
        <f>IFERROR(VLOOKUP(E162,'Product Spec'!$O$1:$R$8,3,FALSE)," ")</f>
        <v xml:space="preserve"> </v>
      </c>
      <c r="I162" s="37" t="str">
        <f t="shared" si="47"/>
        <v xml:space="preserve"> </v>
      </c>
      <c r="J162" s="37" t="str">
        <f>IFERROR(VLOOKUP(E162,'Product Spec'!$O$1:$R$8,4,FALSE)," ")</f>
        <v xml:space="preserve"> </v>
      </c>
      <c r="K162" s="43" t="str">
        <f t="shared" si="48"/>
        <v xml:space="preserve"> </v>
      </c>
      <c r="P162" s="36">
        <f t="shared" si="49"/>
        <v>1</v>
      </c>
      <c r="Q162" s="36" t="e" cm="1">
        <f t="array" ref="Q162">_xlfn.IFS(D162=30,0.87,D162=45,0.7,D162=60,0.5)</f>
        <v>#N/A</v>
      </c>
      <c r="R162" s="36">
        <f t="shared" si="50"/>
        <v>0</v>
      </c>
    </row>
    <row r="163" spans="1:22" ht="15" customHeight="1" x14ac:dyDescent="0.25">
      <c r="A163" s="236"/>
      <c r="B163" s="20" t="s">
        <v>204</v>
      </c>
      <c r="C163" s="19"/>
      <c r="D163" s="17"/>
      <c r="E163" s="18" t="s">
        <v>120</v>
      </c>
      <c r="F163" s="18"/>
      <c r="G163" s="56"/>
      <c r="H163" s="37">
        <f>IFERROR(VLOOKUP(E163,'Product Spec'!$O$1:$R$8,3,FALSE)," ")</f>
        <v>120</v>
      </c>
      <c r="I163" s="37">
        <f t="shared" si="47"/>
        <v>0</v>
      </c>
      <c r="J163" s="37">
        <f>IFERROR(VLOOKUP(E163,'Product Spec'!$O$1:$R$8,4,FALSE)," ")</f>
        <v>160</v>
      </c>
      <c r="K163" s="43">
        <f t="shared" si="48"/>
        <v>0</v>
      </c>
      <c r="P163" s="36">
        <f t="shared" si="49"/>
        <v>1</v>
      </c>
      <c r="Q163" s="36" t="e" cm="1">
        <f t="array" ref="Q163">_xlfn.IFS(D163=30,0.87,D163=45,0.7,D163=60,0.5)</f>
        <v>#N/A</v>
      </c>
      <c r="R163" s="36">
        <f t="shared" si="50"/>
        <v>0</v>
      </c>
    </row>
    <row r="164" spans="1:22" ht="15" customHeight="1" x14ac:dyDescent="0.25">
      <c r="A164" s="236"/>
      <c r="B164" s="98" t="s">
        <v>170</v>
      </c>
      <c r="C164" s="99"/>
      <c r="D164" s="99"/>
      <c r="E164" s="99"/>
      <c r="F164" s="99"/>
      <c r="G164" s="100"/>
      <c r="H164" s="217" cm="1">
        <f t="array" ref="H164">IF(D130&lt;3,0,SUM(IFERROR(I158:I163,0)))</f>
        <v>0</v>
      </c>
      <c r="I164" s="217"/>
      <c r="J164" s="217" cm="1">
        <f t="array" ref="J164">IF(D130&lt;3,0,SUM(IFERROR(K158:K163,0)))</f>
        <v>0</v>
      </c>
      <c r="K164" s="218"/>
    </row>
    <row r="165" spans="1:22" ht="15" customHeight="1" x14ac:dyDescent="0.25">
      <c r="A165" s="44" t="s">
        <v>168</v>
      </c>
      <c r="B165" s="160"/>
      <c r="C165" s="161"/>
      <c r="D165" s="99" t="s">
        <v>166</v>
      </c>
      <c r="E165" s="99"/>
      <c r="F165" s="99"/>
      <c r="G165" s="100"/>
      <c r="H165" s="147" t="e">
        <f>MAX(100,(0.5*$D$125)/$D$130,V158)</f>
        <v>#VALUE!</v>
      </c>
      <c r="I165" s="148"/>
      <c r="J165" s="147" t="e">
        <f>MAX(100,(0.5*$I$125)/$D$130,V158)</f>
        <v>#VALUE!</v>
      </c>
      <c r="K165" s="149"/>
    </row>
    <row r="166" spans="1:22" s="49" customFormat="1" ht="15" customHeight="1" x14ac:dyDescent="0.25">
      <c r="A166" s="208" t="e">
        <f>IF(OR(S158&lt;1,S159&lt;1),"Warning: Doesn’t meet the minimum BU's requirement per line."," ")</f>
        <v>#VALUE!</v>
      </c>
      <c r="B166" s="209"/>
      <c r="C166" s="209"/>
      <c r="D166" s="209"/>
      <c r="E166" s="209"/>
      <c r="F166" s="209"/>
      <c r="G166" s="209"/>
      <c r="H166" s="209"/>
      <c r="I166" s="209"/>
      <c r="J166" s="209"/>
      <c r="K166" s="210"/>
      <c r="L166" s="51"/>
    </row>
    <row r="167" spans="1:22" s="49" customFormat="1" ht="15" customHeight="1" x14ac:dyDescent="0.25">
      <c r="A167" s="219"/>
      <c r="B167" s="220"/>
      <c r="C167" s="220"/>
      <c r="D167" s="220"/>
      <c r="E167" s="220"/>
      <c r="F167" s="220"/>
      <c r="G167" s="220"/>
      <c r="H167" s="220"/>
      <c r="I167" s="220"/>
      <c r="J167" s="220"/>
      <c r="K167" s="221"/>
      <c r="L167" s="51"/>
    </row>
    <row r="168" spans="1:22" ht="15" customHeight="1" x14ac:dyDescent="0.25">
      <c r="A168" s="42" t="s">
        <v>83</v>
      </c>
      <c r="B168" s="33" t="s">
        <v>198</v>
      </c>
      <c r="C168" s="34" t="s">
        <v>86</v>
      </c>
      <c r="D168" s="33" t="s">
        <v>87</v>
      </c>
      <c r="E168" s="33" t="s">
        <v>84</v>
      </c>
      <c r="F168" s="33" t="s">
        <v>85</v>
      </c>
      <c r="G168" s="56"/>
      <c r="H168" s="24" t="s">
        <v>165</v>
      </c>
      <c r="I168" s="24" t="s">
        <v>169</v>
      </c>
      <c r="J168" s="24" t="s">
        <v>165</v>
      </c>
      <c r="K168" s="41" t="s">
        <v>169</v>
      </c>
      <c r="V168" s="36" t="s">
        <v>164</v>
      </c>
    </row>
    <row r="169" spans="1:22" ht="15" customHeight="1" x14ac:dyDescent="0.25">
      <c r="A169" s="236" t="s">
        <v>188</v>
      </c>
      <c r="B169" s="20" t="s">
        <v>199</v>
      </c>
      <c r="C169" s="19"/>
      <c r="D169" s="17"/>
      <c r="E169" s="18" t="s">
        <v>120</v>
      </c>
      <c r="F169" s="18"/>
      <c r="G169" s="56"/>
      <c r="H169" s="37">
        <f>IFERROR(VLOOKUP(E169,'Product Spec'!$O$1:$R$8,3,FALSE)," ")</f>
        <v>120</v>
      </c>
      <c r="I169" s="37">
        <f>IFERROR(C169*H169*P169," ")</f>
        <v>0</v>
      </c>
      <c r="J169" s="37">
        <f>IFERROR(VLOOKUP(E169,'Product Spec'!$O$1:$R$8,4,FALSE)," ")</f>
        <v>160</v>
      </c>
      <c r="K169" s="43">
        <f>IFERROR(C169*J169*P169," ")</f>
        <v>0</v>
      </c>
      <c r="P169" s="36">
        <f>IF(OR(D169=30,D169=45,D169=60),Q169,COS(R169))</f>
        <v>1</v>
      </c>
      <c r="Q169" s="36" t="e" cm="1">
        <f t="array" ref="Q169">_xlfn.IFS(D169=30,0.87,D169=45,0.7,D169=60,0.5)</f>
        <v>#N/A</v>
      </c>
      <c r="R169" s="36">
        <f>(PI()/180)*D169</f>
        <v>0</v>
      </c>
      <c r="S169" s="36" t="e">
        <f>H175/H176</f>
        <v>#VALUE!</v>
      </c>
      <c r="V169" s="36">
        <f xml:space="preserve"> C176*15</f>
        <v>0</v>
      </c>
    </row>
    <row r="170" spans="1:22" ht="15" customHeight="1" x14ac:dyDescent="0.25">
      <c r="A170" s="236"/>
      <c r="B170" s="20" t="s">
        <v>200</v>
      </c>
      <c r="C170" s="19"/>
      <c r="D170" s="17"/>
      <c r="E170" s="18"/>
      <c r="F170" s="18"/>
      <c r="G170" s="56"/>
      <c r="H170" s="37" t="str">
        <f>IFERROR(VLOOKUP(E170,'Product Spec'!$O$1:$R$8,3,FALSE)," ")</f>
        <v xml:space="preserve"> </v>
      </c>
      <c r="I170" s="37" t="str">
        <f t="shared" ref="I170:I174" si="51">IFERROR(C170*H170*P170," ")</f>
        <v xml:space="preserve"> </v>
      </c>
      <c r="J170" s="37" t="str">
        <f>IFERROR(VLOOKUP(E170,'Product Spec'!$O$1:$R$8,4,FALSE)," ")</f>
        <v xml:space="preserve"> </v>
      </c>
      <c r="K170" s="43" t="str">
        <f t="shared" ref="K170:K174" si="52">IFERROR(C170*J170*P170," ")</f>
        <v xml:space="preserve"> </v>
      </c>
      <c r="P170" s="36">
        <f t="shared" ref="P170:P174" si="53">IF(OR(D170=30,D170=45,D170=60),Q170,COS(R170))</f>
        <v>1</v>
      </c>
      <c r="Q170" s="36" t="e" cm="1">
        <f t="array" ref="Q170">_xlfn.IFS(D170=30,0.87,D170=45,0.7,D170=60,0.5)</f>
        <v>#N/A</v>
      </c>
      <c r="R170" s="36">
        <f t="shared" ref="R170:R174" si="54">(PI()/180)*D170</f>
        <v>0</v>
      </c>
      <c r="S170" s="36" t="e">
        <f>J175/J176</f>
        <v>#VALUE!</v>
      </c>
    </row>
    <row r="171" spans="1:22" ht="15" customHeight="1" x14ac:dyDescent="0.25">
      <c r="A171" s="236"/>
      <c r="B171" s="20" t="s">
        <v>201</v>
      </c>
      <c r="C171" s="19"/>
      <c r="D171" s="17"/>
      <c r="E171" s="18"/>
      <c r="F171" s="18"/>
      <c r="G171" s="56"/>
      <c r="H171" s="37" t="str">
        <f>IFERROR(VLOOKUP(E171,'Product Spec'!$O$1:$R$8,3,FALSE)," ")</f>
        <v xml:space="preserve"> </v>
      </c>
      <c r="I171" s="37" t="str">
        <f t="shared" si="51"/>
        <v xml:space="preserve"> </v>
      </c>
      <c r="J171" s="37" t="str">
        <f>IFERROR(VLOOKUP(E171,'Product Spec'!$O$1:$R$8,4,FALSE)," ")</f>
        <v xml:space="preserve"> </v>
      </c>
      <c r="K171" s="43" t="str">
        <f t="shared" si="52"/>
        <v xml:space="preserve"> </v>
      </c>
      <c r="P171" s="36">
        <f t="shared" si="53"/>
        <v>1</v>
      </c>
      <c r="Q171" s="36" t="e" cm="1">
        <f t="array" ref="Q171">_xlfn.IFS(D171=30,0.87,D171=45,0.7,D171=60,0.5)</f>
        <v>#N/A</v>
      </c>
      <c r="R171" s="36">
        <f t="shared" si="54"/>
        <v>0</v>
      </c>
    </row>
    <row r="172" spans="1:22" ht="15" customHeight="1" x14ac:dyDescent="0.25">
      <c r="A172" s="236"/>
      <c r="B172" s="20" t="s">
        <v>202</v>
      </c>
      <c r="C172" s="19"/>
      <c r="D172" s="17"/>
      <c r="E172" s="18"/>
      <c r="F172" s="18"/>
      <c r="G172" s="56"/>
      <c r="H172" s="37" t="str">
        <f>IFERROR(VLOOKUP(E172,'Product Spec'!$O$1:$R$8,3,FALSE)," ")</f>
        <v xml:space="preserve"> </v>
      </c>
      <c r="I172" s="37" t="str">
        <f t="shared" si="51"/>
        <v xml:space="preserve"> </v>
      </c>
      <c r="J172" s="37" t="str">
        <f>IFERROR(VLOOKUP(E172,'Product Spec'!$O$1:$R$8,4,FALSE)," ")</f>
        <v xml:space="preserve"> </v>
      </c>
      <c r="K172" s="43" t="str">
        <f t="shared" si="52"/>
        <v xml:space="preserve"> </v>
      </c>
      <c r="P172" s="36">
        <f t="shared" si="53"/>
        <v>1</v>
      </c>
      <c r="Q172" s="36" t="e" cm="1">
        <f t="array" ref="Q172">_xlfn.IFS(D172=30,0.87,D172=45,0.7,D172=60,0.5)</f>
        <v>#N/A</v>
      </c>
      <c r="R172" s="36">
        <f t="shared" si="54"/>
        <v>0</v>
      </c>
    </row>
    <row r="173" spans="1:22" ht="15" customHeight="1" x14ac:dyDescent="0.25">
      <c r="A173" s="236"/>
      <c r="B173" s="20" t="s">
        <v>203</v>
      </c>
      <c r="C173" s="19"/>
      <c r="D173" s="17"/>
      <c r="E173" s="18"/>
      <c r="F173" s="18"/>
      <c r="G173" s="56"/>
      <c r="H173" s="37" t="str">
        <f>IFERROR(VLOOKUP(E173,'Product Spec'!$O$1:$R$8,3,FALSE)," ")</f>
        <v xml:space="preserve"> </v>
      </c>
      <c r="I173" s="37" t="str">
        <f t="shared" si="51"/>
        <v xml:space="preserve"> </v>
      </c>
      <c r="J173" s="37" t="str">
        <f>IFERROR(VLOOKUP(E173,'Product Spec'!$O$1:$R$8,4,FALSE)," ")</f>
        <v xml:space="preserve"> </v>
      </c>
      <c r="K173" s="43" t="str">
        <f t="shared" si="52"/>
        <v xml:space="preserve"> </v>
      </c>
      <c r="P173" s="36">
        <f t="shared" si="53"/>
        <v>1</v>
      </c>
      <c r="Q173" s="36" t="e" cm="1">
        <f t="array" ref="Q173">_xlfn.IFS(D173=30,0.87,D173=45,0.7,D173=60,0.5)</f>
        <v>#N/A</v>
      </c>
      <c r="R173" s="36">
        <f t="shared" si="54"/>
        <v>0</v>
      </c>
    </row>
    <row r="174" spans="1:22" ht="15" customHeight="1" x14ac:dyDescent="0.25">
      <c r="A174" s="236"/>
      <c r="B174" s="20" t="s">
        <v>204</v>
      </c>
      <c r="C174" s="19"/>
      <c r="D174" s="17"/>
      <c r="E174" s="18"/>
      <c r="F174" s="18"/>
      <c r="G174" s="56"/>
      <c r="H174" s="37" t="str">
        <f>IFERROR(VLOOKUP(E174,'Product Spec'!$O$1:$R$8,3,FALSE)," ")</f>
        <v xml:space="preserve"> </v>
      </c>
      <c r="I174" s="37" t="str">
        <f t="shared" si="51"/>
        <v xml:space="preserve"> </v>
      </c>
      <c r="J174" s="37" t="str">
        <f>IFERROR(VLOOKUP(E174,'Product Spec'!$O$1:$R$8,4,FALSE)," ")</f>
        <v xml:space="preserve"> </v>
      </c>
      <c r="K174" s="43" t="str">
        <f t="shared" si="52"/>
        <v xml:space="preserve"> </v>
      </c>
      <c r="P174" s="36">
        <f t="shared" si="53"/>
        <v>1</v>
      </c>
      <c r="Q174" s="36" t="e" cm="1">
        <f t="array" ref="Q174">_xlfn.IFS(D174=30,0.87,D174=45,0.7,D174=60,0.5)</f>
        <v>#N/A</v>
      </c>
      <c r="R174" s="36">
        <f t="shared" si="54"/>
        <v>0</v>
      </c>
    </row>
    <row r="175" spans="1:22" ht="15" customHeight="1" x14ac:dyDescent="0.25">
      <c r="A175" s="236"/>
      <c r="B175" s="98" t="s">
        <v>170</v>
      </c>
      <c r="C175" s="99"/>
      <c r="D175" s="99"/>
      <c r="E175" s="99"/>
      <c r="F175" s="99"/>
      <c r="G175" s="100"/>
      <c r="H175" s="217" cm="1">
        <f t="array" ref="H175">IF(D130&lt;4,0,SUM(IFERROR(I169:I174,0)))</f>
        <v>0</v>
      </c>
      <c r="I175" s="217"/>
      <c r="J175" s="217" cm="1">
        <f t="array" ref="J175">IF(D130&lt;4,0,SUM(IFERROR(K169:K174,0)))</f>
        <v>0</v>
      </c>
      <c r="K175" s="218"/>
    </row>
    <row r="176" spans="1:22" ht="15" customHeight="1" x14ac:dyDescent="0.25">
      <c r="A176" s="44" t="s">
        <v>168</v>
      </c>
      <c r="B176" s="160"/>
      <c r="C176" s="161"/>
      <c r="D176" s="99" t="s">
        <v>166</v>
      </c>
      <c r="E176" s="99"/>
      <c r="F176" s="99"/>
      <c r="G176" s="100"/>
      <c r="H176" s="147" t="e">
        <f>MAX(100,(0.5*$D$125)/$D$130,V169)</f>
        <v>#VALUE!</v>
      </c>
      <c r="I176" s="148"/>
      <c r="J176" s="147" t="e">
        <f>MAX(100,(0.5*$I$125)/$D$130,V169)</f>
        <v>#VALUE!</v>
      </c>
      <c r="K176" s="149"/>
    </row>
    <row r="177" spans="1:22" s="49" customFormat="1" ht="15" customHeight="1" x14ac:dyDescent="0.25">
      <c r="A177" s="208" t="e">
        <f>IF(OR(S169&lt;1,S170&lt;1),"Warning: Doesn’t meet the minimum BU's requirement per line."," ")</f>
        <v>#VALUE!</v>
      </c>
      <c r="B177" s="209"/>
      <c r="C177" s="209"/>
      <c r="D177" s="209"/>
      <c r="E177" s="209"/>
      <c r="F177" s="209"/>
      <c r="G177" s="209"/>
      <c r="H177" s="209"/>
      <c r="I177" s="209"/>
      <c r="J177" s="209"/>
      <c r="K177" s="210"/>
      <c r="L177" s="51"/>
    </row>
    <row r="178" spans="1:22" ht="15" customHeight="1" x14ac:dyDescent="0.25">
      <c r="A178" s="214"/>
      <c r="B178" s="215"/>
      <c r="C178" s="215"/>
      <c r="D178" s="215"/>
      <c r="E178" s="215"/>
      <c r="F178" s="215"/>
      <c r="G178" s="215"/>
      <c r="H178" s="215"/>
      <c r="I178" s="215"/>
      <c r="J178" s="215"/>
      <c r="K178" s="216"/>
      <c r="M178" s="49"/>
      <c r="N178" s="49"/>
      <c r="O178" s="49"/>
      <c r="P178" s="49"/>
      <c r="Q178" s="49"/>
      <c r="R178" s="49"/>
      <c r="S178" s="49"/>
      <c r="T178" s="49"/>
      <c r="U178" s="49"/>
      <c r="V178" s="49"/>
    </row>
    <row r="179" spans="1:22" ht="15" customHeight="1" x14ac:dyDescent="0.25">
      <c r="A179" s="42" t="s">
        <v>83</v>
      </c>
      <c r="B179" s="33" t="s">
        <v>198</v>
      </c>
      <c r="C179" s="34" t="s">
        <v>86</v>
      </c>
      <c r="D179" s="33" t="s">
        <v>87</v>
      </c>
      <c r="E179" s="33" t="s">
        <v>84</v>
      </c>
      <c r="F179" s="33" t="s">
        <v>85</v>
      </c>
      <c r="G179" s="56"/>
      <c r="H179" s="24" t="s">
        <v>165</v>
      </c>
      <c r="I179" s="24" t="s">
        <v>169</v>
      </c>
      <c r="J179" s="24" t="s">
        <v>165</v>
      </c>
      <c r="K179" s="41" t="s">
        <v>169</v>
      </c>
      <c r="V179" s="36" t="s">
        <v>164</v>
      </c>
    </row>
    <row r="180" spans="1:22" ht="15" customHeight="1" x14ac:dyDescent="0.25">
      <c r="A180" s="236" t="s">
        <v>189</v>
      </c>
      <c r="B180" s="20" t="s">
        <v>199</v>
      </c>
      <c r="C180" s="19"/>
      <c r="D180" s="17"/>
      <c r="E180" s="18"/>
      <c r="F180" s="18"/>
      <c r="G180" s="56"/>
      <c r="H180" s="37" t="str">
        <f>IFERROR(VLOOKUP(E180,'Product Spec'!$O$1:$R$8,3,FALSE)," ")</f>
        <v xml:space="preserve"> </v>
      </c>
      <c r="I180" s="37" t="str">
        <f>IFERROR(C180*H180*P180," ")</f>
        <v xml:space="preserve"> </v>
      </c>
      <c r="J180" s="37" t="str">
        <f>IFERROR(VLOOKUP(E180,'Product Spec'!$O$1:$R$8,4,FALSE)," ")</f>
        <v xml:space="preserve"> </v>
      </c>
      <c r="K180" s="43" t="str">
        <f>IFERROR(C180*J180*P180," ")</f>
        <v xml:space="preserve"> </v>
      </c>
      <c r="P180" s="36">
        <f>IF(OR(D180=30,D180=45,D180=60),Q180,COS(R180))</f>
        <v>1</v>
      </c>
      <c r="Q180" s="36" t="e" cm="1">
        <f t="array" ref="Q180">_xlfn.IFS(D180=30,0.87,D180=45,0.7,D180=60,0.5)</f>
        <v>#N/A</v>
      </c>
      <c r="R180" s="36">
        <f>(PI()/180)*D180</f>
        <v>0</v>
      </c>
      <c r="S180" s="36" t="e">
        <f>H186/H187</f>
        <v>#VALUE!</v>
      </c>
      <c r="V180" s="36">
        <f xml:space="preserve"> C187*15</f>
        <v>0</v>
      </c>
    </row>
    <row r="181" spans="1:22" ht="15" customHeight="1" x14ac:dyDescent="0.25">
      <c r="A181" s="236"/>
      <c r="B181" s="20" t="s">
        <v>200</v>
      </c>
      <c r="C181" s="19"/>
      <c r="D181" s="17"/>
      <c r="E181" s="18"/>
      <c r="F181" s="18"/>
      <c r="G181" s="56"/>
      <c r="H181" s="37" t="str">
        <f>IFERROR(VLOOKUP(E181,'Product Spec'!$O$1:$R$8,3,FALSE)," ")</f>
        <v xml:space="preserve"> </v>
      </c>
      <c r="I181" s="37" t="str">
        <f t="shared" ref="I181:I185" si="55">IFERROR(C181*H181*P181," ")</f>
        <v xml:space="preserve"> </v>
      </c>
      <c r="J181" s="37" t="str">
        <f>IFERROR(VLOOKUP(E181,'Product Spec'!$O$1:$R$8,4,FALSE)," ")</f>
        <v xml:space="preserve"> </v>
      </c>
      <c r="K181" s="43" t="str">
        <f t="shared" ref="K181:K185" si="56">IFERROR(C181*J181*P181," ")</f>
        <v xml:space="preserve"> </v>
      </c>
      <c r="P181" s="36">
        <f t="shared" ref="P181:P185" si="57">IF(OR(D181=30,D181=45,D181=60),Q181,COS(R181))</f>
        <v>1</v>
      </c>
      <c r="Q181" s="36" t="e" cm="1">
        <f t="array" ref="Q181">_xlfn.IFS(D181=30,0.87,D181=45,0.7,D181=60,0.5)</f>
        <v>#N/A</v>
      </c>
      <c r="R181" s="36">
        <f t="shared" ref="R181:R185" si="58">(PI()/180)*D181</f>
        <v>0</v>
      </c>
      <c r="S181" s="36" t="e">
        <f>J186/J187</f>
        <v>#VALUE!</v>
      </c>
    </row>
    <row r="182" spans="1:22" ht="15" customHeight="1" x14ac:dyDescent="0.25">
      <c r="A182" s="236"/>
      <c r="B182" s="20" t="s">
        <v>201</v>
      </c>
      <c r="C182" s="19"/>
      <c r="D182" s="17"/>
      <c r="E182" s="18"/>
      <c r="F182" s="18"/>
      <c r="G182" s="56"/>
      <c r="H182" s="37" t="str">
        <f>IFERROR(VLOOKUP(E182,'Product Spec'!$O$1:$R$8,3,FALSE)," ")</f>
        <v xml:space="preserve"> </v>
      </c>
      <c r="I182" s="37" t="str">
        <f t="shared" si="55"/>
        <v xml:space="preserve"> </v>
      </c>
      <c r="J182" s="37" t="str">
        <f>IFERROR(VLOOKUP(E182,'Product Spec'!$O$1:$R$8,4,FALSE)," ")</f>
        <v xml:space="preserve"> </v>
      </c>
      <c r="K182" s="43" t="str">
        <f t="shared" si="56"/>
        <v xml:space="preserve"> </v>
      </c>
      <c r="P182" s="36">
        <f t="shared" si="57"/>
        <v>1</v>
      </c>
      <c r="Q182" s="36" t="e" cm="1">
        <f t="array" ref="Q182">_xlfn.IFS(D182=30,0.87,D182=45,0.7,D182=60,0.5)</f>
        <v>#N/A</v>
      </c>
      <c r="R182" s="36">
        <f t="shared" si="58"/>
        <v>0</v>
      </c>
    </row>
    <row r="183" spans="1:22" ht="15" customHeight="1" x14ac:dyDescent="0.25">
      <c r="A183" s="236"/>
      <c r="B183" s="20" t="s">
        <v>202</v>
      </c>
      <c r="C183" s="19"/>
      <c r="D183" s="17"/>
      <c r="E183" s="18"/>
      <c r="F183" s="18"/>
      <c r="G183" s="56"/>
      <c r="H183" s="37" t="str">
        <f>IFERROR(VLOOKUP(E183,'Product Spec'!$O$1:$R$8,3,FALSE)," ")</f>
        <v xml:space="preserve"> </v>
      </c>
      <c r="I183" s="37" t="str">
        <f t="shared" si="55"/>
        <v xml:space="preserve"> </v>
      </c>
      <c r="J183" s="37" t="str">
        <f>IFERROR(VLOOKUP(E183,'Product Spec'!$O$1:$R$8,4,FALSE)," ")</f>
        <v xml:space="preserve"> </v>
      </c>
      <c r="K183" s="43" t="str">
        <f t="shared" si="56"/>
        <v xml:space="preserve"> </v>
      </c>
      <c r="P183" s="36">
        <f t="shared" si="57"/>
        <v>1</v>
      </c>
      <c r="Q183" s="36" t="e" cm="1">
        <f t="array" ref="Q183">_xlfn.IFS(D183=30,0.87,D183=45,0.7,D183=60,0.5)</f>
        <v>#N/A</v>
      </c>
      <c r="R183" s="36">
        <f t="shared" si="58"/>
        <v>0</v>
      </c>
    </row>
    <row r="184" spans="1:22" ht="15" customHeight="1" x14ac:dyDescent="0.25">
      <c r="A184" s="236"/>
      <c r="B184" s="20" t="s">
        <v>203</v>
      </c>
      <c r="C184" s="19"/>
      <c r="D184" s="17"/>
      <c r="E184" s="18"/>
      <c r="F184" s="18"/>
      <c r="G184" s="56"/>
      <c r="H184" s="37" t="str">
        <f>IFERROR(VLOOKUP(E184,'Product Spec'!$O$1:$R$8,3,FALSE)," ")</f>
        <v xml:space="preserve"> </v>
      </c>
      <c r="I184" s="37" t="str">
        <f t="shared" si="55"/>
        <v xml:space="preserve"> </v>
      </c>
      <c r="J184" s="37" t="str">
        <f>IFERROR(VLOOKUP(E184,'Product Spec'!$O$1:$R$8,4,FALSE)," ")</f>
        <v xml:space="preserve"> </v>
      </c>
      <c r="K184" s="43" t="str">
        <f t="shared" si="56"/>
        <v xml:space="preserve"> </v>
      </c>
      <c r="P184" s="36">
        <f t="shared" si="57"/>
        <v>1</v>
      </c>
      <c r="Q184" s="36" t="e" cm="1">
        <f t="array" ref="Q184">_xlfn.IFS(D184=30,0.87,D184=45,0.7,D184=60,0.5)</f>
        <v>#N/A</v>
      </c>
      <c r="R184" s="36">
        <f t="shared" si="58"/>
        <v>0</v>
      </c>
    </row>
    <row r="185" spans="1:22" ht="15" customHeight="1" x14ac:dyDescent="0.25">
      <c r="A185" s="236"/>
      <c r="B185" s="20" t="s">
        <v>204</v>
      </c>
      <c r="C185" s="19"/>
      <c r="D185" s="17"/>
      <c r="E185" s="18"/>
      <c r="F185" s="18"/>
      <c r="G185" s="56"/>
      <c r="H185" s="37" t="str">
        <f>IFERROR(VLOOKUP(E185,'Product Spec'!$O$1:$R$8,3,FALSE)," ")</f>
        <v xml:space="preserve"> </v>
      </c>
      <c r="I185" s="37" t="str">
        <f t="shared" si="55"/>
        <v xml:space="preserve"> </v>
      </c>
      <c r="J185" s="37" t="str">
        <f>IFERROR(VLOOKUP(E185,'Product Spec'!$O$1:$R$8,4,FALSE)," ")</f>
        <v xml:space="preserve"> </v>
      </c>
      <c r="K185" s="43" t="str">
        <f t="shared" si="56"/>
        <v xml:space="preserve"> </v>
      </c>
      <c r="P185" s="36">
        <f t="shared" si="57"/>
        <v>1</v>
      </c>
      <c r="Q185" s="36" t="e" cm="1">
        <f t="array" ref="Q185">_xlfn.IFS(D185=30,0.87,D185=45,0.7,D185=60,0.5)</f>
        <v>#N/A</v>
      </c>
      <c r="R185" s="36">
        <f t="shared" si="58"/>
        <v>0</v>
      </c>
    </row>
    <row r="186" spans="1:22" ht="15" customHeight="1" x14ac:dyDescent="0.25">
      <c r="A186" s="236"/>
      <c r="B186" s="98" t="s">
        <v>170</v>
      </c>
      <c r="C186" s="99"/>
      <c r="D186" s="99"/>
      <c r="E186" s="99"/>
      <c r="F186" s="99"/>
      <c r="G186" s="100"/>
      <c r="H186" s="217" cm="1">
        <f t="array" ref="H186">IF(D130&lt;5,0,SUM(IFERROR(I180:I185,0)))</f>
        <v>0</v>
      </c>
      <c r="I186" s="217"/>
      <c r="J186" s="217" cm="1">
        <f t="array" ref="J186">IF(D130&lt;5,0,SUM(IFERROR(K180:K185,0)))</f>
        <v>0</v>
      </c>
      <c r="K186" s="218"/>
    </row>
    <row r="187" spans="1:22" ht="15" customHeight="1" x14ac:dyDescent="0.25">
      <c r="A187" s="44" t="s">
        <v>168</v>
      </c>
      <c r="B187" s="160"/>
      <c r="C187" s="161"/>
      <c r="D187" s="99" t="s">
        <v>166</v>
      </c>
      <c r="E187" s="99"/>
      <c r="F187" s="99"/>
      <c r="G187" s="100"/>
      <c r="H187" s="147" t="e">
        <f>MAX(100,(0.5*$D$125)/$D$130,V180)</f>
        <v>#VALUE!</v>
      </c>
      <c r="I187" s="148"/>
      <c r="J187" s="147" t="e">
        <f>MAX(100,(0.5*$I$125)/$D$130,V180)</f>
        <v>#VALUE!</v>
      </c>
      <c r="K187" s="149"/>
    </row>
    <row r="188" spans="1:22" s="49" customFormat="1" ht="15" customHeight="1" x14ac:dyDescent="0.25">
      <c r="A188" s="208" t="e">
        <f>IF(OR(S180&lt;1,S181&lt;1),"Warning: Doesn’t meet the minimum BU's requirement per line."," ")</f>
        <v>#VALUE!</v>
      </c>
      <c r="B188" s="209"/>
      <c r="C188" s="209"/>
      <c r="D188" s="209"/>
      <c r="E188" s="209"/>
      <c r="F188" s="209"/>
      <c r="G188" s="209"/>
      <c r="H188" s="209"/>
      <c r="I188" s="209"/>
      <c r="J188" s="209"/>
      <c r="K188" s="210"/>
      <c r="L188" s="51"/>
    </row>
    <row r="189" spans="1:22" ht="15" customHeight="1" x14ac:dyDescent="0.25">
      <c r="A189" s="214"/>
      <c r="B189" s="215"/>
      <c r="C189" s="215"/>
      <c r="D189" s="215"/>
      <c r="E189" s="215"/>
      <c r="F189" s="215"/>
      <c r="G189" s="215"/>
      <c r="H189" s="215"/>
      <c r="I189" s="215"/>
      <c r="J189" s="215"/>
      <c r="K189" s="216"/>
      <c r="M189" s="49"/>
      <c r="N189" s="49"/>
      <c r="O189" s="49"/>
      <c r="P189" s="49"/>
      <c r="Q189" s="49"/>
      <c r="R189" s="49"/>
      <c r="S189" s="49"/>
      <c r="T189" s="49"/>
      <c r="U189" s="49"/>
      <c r="V189" s="49"/>
    </row>
    <row r="190" spans="1:22" ht="15" customHeight="1" x14ac:dyDescent="0.25">
      <c r="A190" s="42" t="s">
        <v>83</v>
      </c>
      <c r="B190" s="33" t="s">
        <v>198</v>
      </c>
      <c r="C190" s="34" t="s">
        <v>86</v>
      </c>
      <c r="D190" s="33" t="s">
        <v>87</v>
      </c>
      <c r="E190" s="33" t="s">
        <v>84</v>
      </c>
      <c r="F190" s="33" t="s">
        <v>85</v>
      </c>
      <c r="G190" s="56"/>
      <c r="H190" s="24" t="s">
        <v>165</v>
      </c>
      <c r="I190" s="24" t="s">
        <v>169</v>
      </c>
      <c r="J190" s="24" t="s">
        <v>165</v>
      </c>
      <c r="K190" s="41" t="s">
        <v>169</v>
      </c>
      <c r="V190" s="36" t="s">
        <v>164</v>
      </c>
    </row>
    <row r="191" spans="1:22" ht="15" customHeight="1" x14ac:dyDescent="0.25">
      <c r="A191" s="236" t="s">
        <v>190</v>
      </c>
      <c r="B191" s="20" t="s">
        <v>199</v>
      </c>
      <c r="C191" s="19"/>
      <c r="D191" s="17"/>
      <c r="E191" s="18"/>
      <c r="F191" s="18"/>
      <c r="G191" s="56"/>
      <c r="H191" s="37" t="str">
        <f>IFERROR(VLOOKUP(E191,'Product Spec'!$O$1:$R$8,3,FALSE)," ")</f>
        <v xml:space="preserve"> </v>
      </c>
      <c r="I191" s="37" t="str">
        <f>IFERROR(C191*H191*P191," ")</f>
        <v xml:space="preserve"> </v>
      </c>
      <c r="J191" s="37" t="str">
        <f>IFERROR(VLOOKUP(E191,'Product Spec'!$O$1:$R$8,4,FALSE)," ")</f>
        <v xml:space="preserve"> </v>
      </c>
      <c r="K191" s="43" t="str">
        <f>IFERROR(C191*J191*P191," ")</f>
        <v xml:space="preserve"> </v>
      </c>
      <c r="P191" s="36">
        <f>IF(OR(D191=30,D191=45,D191=60),Q191,COS(R191))</f>
        <v>1</v>
      </c>
      <c r="Q191" s="36" t="e" cm="1">
        <f t="array" ref="Q191">_xlfn.IFS(D191=30,0.87,D191=45,0.7,D191=60,0.5)</f>
        <v>#N/A</v>
      </c>
      <c r="R191" s="36">
        <f>(PI()/180)*D191</f>
        <v>0</v>
      </c>
      <c r="S191" s="36" t="e">
        <f>H197/H198</f>
        <v>#VALUE!</v>
      </c>
      <c r="V191" s="36">
        <f xml:space="preserve"> C198*15</f>
        <v>0</v>
      </c>
    </row>
    <row r="192" spans="1:22" ht="15" customHeight="1" x14ac:dyDescent="0.25">
      <c r="A192" s="236"/>
      <c r="B192" s="20" t="s">
        <v>200</v>
      </c>
      <c r="C192" s="19"/>
      <c r="D192" s="17"/>
      <c r="E192" s="18"/>
      <c r="F192" s="18"/>
      <c r="G192" s="56"/>
      <c r="H192" s="37" t="str">
        <f>IFERROR(VLOOKUP(E192,'Product Spec'!$O$1:$R$8,3,FALSE)," ")</f>
        <v xml:space="preserve"> </v>
      </c>
      <c r="I192" s="37" t="str">
        <f t="shared" ref="I192:I196" si="59">IFERROR(C192*H192*P192," ")</f>
        <v xml:space="preserve"> </v>
      </c>
      <c r="J192" s="37" t="str">
        <f>IFERROR(VLOOKUP(E192,'Product Spec'!$O$1:$R$8,4,FALSE)," ")</f>
        <v xml:space="preserve"> </v>
      </c>
      <c r="K192" s="43" t="str">
        <f t="shared" ref="K192:K196" si="60">IFERROR(C192*J192*P192," ")</f>
        <v xml:space="preserve"> </v>
      </c>
      <c r="P192" s="36">
        <f t="shared" ref="P192:P196" si="61">IF(OR(D192=30,D192=45,D192=60),Q192,COS(R192))</f>
        <v>1</v>
      </c>
      <c r="Q192" s="36" t="e" cm="1">
        <f t="array" ref="Q192">_xlfn.IFS(D192=30,0.87,D192=45,0.7,D192=60,0.5)</f>
        <v>#N/A</v>
      </c>
      <c r="R192" s="36">
        <f t="shared" ref="R192:R196" si="62">(PI()/180)*D192</f>
        <v>0</v>
      </c>
      <c r="S192" s="36" t="e">
        <f>J197/J198</f>
        <v>#VALUE!</v>
      </c>
    </row>
    <row r="193" spans="1:22" ht="15" customHeight="1" x14ac:dyDescent="0.25">
      <c r="A193" s="236"/>
      <c r="B193" s="20" t="s">
        <v>201</v>
      </c>
      <c r="C193" s="19"/>
      <c r="D193" s="17"/>
      <c r="E193" s="18"/>
      <c r="F193" s="18"/>
      <c r="G193" s="56"/>
      <c r="H193" s="37" t="str">
        <f>IFERROR(VLOOKUP(E193,'Product Spec'!$O$1:$R$8,3,FALSE)," ")</f>
        <v xml:space="preserve"> </v>
      </c>
      <c r="I193" s="37" t="str">
        <f t="shared" si="59"/>
        <v xml:space="preserve"> </v>
      </c>
      <c r="J193" s="37" t="str">
        <f>IFERROR(VLOOKUP(E193,'Product Spec'!$O$1:$R$8,4,FALSE)," ")</f>
        <v xml:space="preserve"> </v>
      </c>
      <c r="K193" s="43" t="str">
        <f t="shared" si="60"/>
        <v xml:space="preserve"> </v>
      </c>
      <c r="P193" s="36">
        <f t="shared" si="61"/>
        <v>1</v>
      </c>
      <c r="Q193" s="36" t="e" cm="1">
        <f t="array" ref="Q193">_xlfn.IFS(D193=30,0.87,D193=45,0.7,D193=60,0.5)</f>
        <v>#N/A</v>
      </c>
      <c r="R193" s="36">
        <f t="shared" si="62"/>
        <v>0</v>
      </c>
    </row>
    <row r="194" spans="1:22" ht="15" customHeight="1" x14ac:dyDescent="0.25">
      <c r="A194" s="236"/>
      <c r="B194" s="20" t="s">
        <v>202</v>
      </c>
      <c r="C194" s="19"/>
      <c r="D194" s="17"/>
      <c r="E194" s="18"/>
      <c r="F194" s="18"/>
      <c r="G194" s="56"/>
      <c r="H194" s="37" t="str">
        <f>IFERROR(VLOOKUP(E194,'Product Spec'!$O$1:$R$8,3,FALSE)," ")</f>
        <v xml:space="preserve"> </v>
      </c>
      <c r="I194" s="37" t="str">
        <f t="shared" si="59"/>
        <v xml:space="preserve"> </v>
      </c>
      <c r="J194" s="37" t="str">
        <f>IFERROR(VLOOKUP(E194,'Product Spec'!$O$1:$R$8,4,FALSE)," ")</f>
        <v xml:space="preserve"> </v>
      </c>
      <c r="K194" s="43" t="str">
        <f t="shared" si="60"/>
        <v xml:space="preserve"> </v>
      </c>
      <c r="P194" s="36">
        <f t="shared" si="61"/>
        <v>1</v>
      </c>
      <c r="Q194" s="36" t="e" cm="1">
        <f t="array" ref="Q194">_xlfn.IFS(D194=30,0.87,D194=45,0.7,D194=60,0.5)</f>
        <v>#N/A</v>
      </c>
      <c r="R194" s="36">
        <f t="shared" si="62"/>
        <v>0</v>
      </c>
    </row>
    <row r="195" spans="1:22" ht="15" customHeight="1" x14ac:dyDescent="0.25">
      <c r="A195" s="236"/>
      <c r="B195" s="20" t="s">
        <v>203</v>
      </c>
      <c r="C195" s="19"/>
      <c r="D195" s="17"/>
      <c r="E195" s="18"/>
      <c r="F195" s="18"/>
      <c r="G195" s="56"/>
      <c r="H195" s="37" t="str">
        <f>IFERROR(VLOOKUP(E195,'Product Spec'!$O$1:$R$8,3,FALSE)," ")</f>
        <v xml:space="preserve"> </v>
      </c>
      <c r="I195" s="37" t="str">
        <f t="shared" si="59"/>
        <v xml:space="preserve"> </v>
      </c>
      <c r="J195" s="37" t="str">
        <f>IFERROR(VLOOKUP(E195,'Product Spec'!$O$1:$R$8,4,FALSE)," ")</f>
        <v xml:space="preserve"> </v>
      </c>
      <c r="K195" s="43" t="str">
        <f t="shared" si="60"/>
        <v xml:space="preserve"> </v>
      </c>
      <c r="P195" s="36">
        <f t="shared" si="61"/>
        <v>1</v>
      </c>
      <c r="Q195" s="36" t="e" cm="1">
        <f t="array" ref="Q195">_xlfn.IFS(D195=30,0.87,D195=45,0.7,D195=60,0.5)</f>
        <v>#N/A</v>
      </c>
      <c r="R195" s="36">
        <f t="shared" si="62"/>
        <v>0</v>
      </c>
    </row>
    <row r="196" spans="1:22" ht="15" customHeight="1" x14ac:dyDescent="0.25">
      <c r="A196" s="236"/>
      <c r="B196" s="20" t="s">
        <v>204</v>
      </c>
      <c r="C196" s="19"/>
      <c r="D196" s="17"/>
      <c r="E196" s="18"/>
      <c r="F196" s="18"/>
      <c r="G196" s="56"/>
      <c r="H196" s="37" t="str">
        <f>IFERROR(VLOOKUP(E196,'Product Spec'!$O$1:$R$8,3,FALSE)," ")</f>
        <v xml:space="preserve"> </v>
      </c>
      <c r="I196" s="37" t="str">
        <f t="shared" si="59"/>
        <v xml:space="preserve"> </v>
      </c>
      <c r="J196" s="37" t="str">
        <f>IFERROR(VLOOKUP(E196,'Product Spec'!$O$1:$R$8,4,FALSE)," ")</f>
        <v xml:space="preserve"> </v>
      </c>
      <c r="K196" s="43" t="str">
        <f t="shared" si="60"/>
        <v xml:space="preserve"> </v>
      </c>
      <c r="P196" s="36">
        <f t="shared" si="61"/>
        <v>1</v>
      </c>
      <c r="Q196" s="36" t="e" cm="1">
        <f t="array" ref="Q196">_xlfn.IFS(D196=30,0.87,D196=45,0.7,D196=60,0.5)</f>
        <v>#N/A</v>
      </c>
      <c r="R196" s="36">
        <f t="shared" si="62"/>
        <v>0</v>
      </c>
    </row>
    <row r="197" spans="1:22" ht="15" customHeight="1" x14ac:dyDescent="0.25">
      <c r="A197" s="236"/>
      <c r="B197" s="98" t="s">
        <v>170</v>
      </c>
      <c r="C197" s="99"/>
      <c r="D197" s="99"/>
      <c r="E197" s="99"/>
      <c r="F197" s="99"/>
      <c r="G197" s="100"/>
      <c r="H197" s="217" cm="1">
        <f t="array" ref="H197">IF(D130&lt;6,0,SUM(IFERROR(I191:I196,0)))</f>
        <v>0</v>
      </c>
      <c r="I197" s="217"/>
      <c r="J197" s="217" cm="1">
        <f t="array" ref="J197">IF(D130&lt;6,0,SUM(IFERROR(K191:K196,0)))</f>
        <v>0</v>
      </c>
      <c r="K197" s="218"/>
    </row>
    <row r="198" spans="1:22" ht="15" customHeight="1" x14ac:dyDescent="0.25">
      <c r="A198" s="44" t="s">
        <v>168</v>
      </c>
      <c r="B198" s="160"/>
      <c r="C198" s="161"/>
      <c r="D198" s="99" t="s">
        <v>166</v>
      </c>
      <c r="E198" s="99"/>
      <c r="F198" s="99"/>
      <c r="G198" s="100"/>
      <c r="H198" s="147" t="e">
        <f>MAX(100,(0.5*$D$125)/$D$130,V191)</f>
        <v>#VALUE!</v>
      </c>
      <c r="I198" s="148"/>
      <c r="J198" s="147" t="e">
        <f>MAX(100,(0.5*$I$125)/$D$130,V191)</f>
        <v>#VALUE!</v>
      </c>
      <c r="K198" s="149"/>
    </row>
    <row r="199" spans="1:22" s="49" customFormat="1" ht="15" customHeight="1" x14ac:dyDescent="0.25">
      <c r="A199" s="208" t="e">
        <f>IF(OR(S191&lt;1,S192&lt;1),"Warning: Doesn’t meet the minimum BU's requirement per line."," ")</f>
        <v>#VALUE!</v>
      </c>
      <c r="B199" s="209"/>
      <c r="C199" s="209"/>
      <c r="D199" s="209"/>
      <c r="E199" s="209"/>
      <c r="F199" s="209"/>
      <c r="G199" s="209"/>
      <c r="H199" s="209"/>
      <c r="I199" s="209"/>
      <c r="J199" s="209"/>
      <c r="K199" s="210"/>
      <c r="L199" s="51"/>
    </row>
    <row r="200" spans="1:22" ht="15" customHeight="1" x14ac:dyDescent="0.25">
      <c r="A200" s="214"/>
      <c r="B200" s="215"/>
      <c r="C200" s="215"/>
      <c r="D200" s="215"/>
      <c r="E200" s="215"/>
      <c r="F200" s="215"/>
      <c r="G200" s="215"/>
      <c r="H200" s="215"/>
      <c r="I200" s="215"/>
      <c r="J200" s="215"/>
      <c r="K200" s="216"/>
      <c r="M200" s="49"/>
      <c r="N200" s="49"/>
      <c r="O200" s="49"/>
      <c r="P200" s="49"/>
      <c r="Q200" s="49"/>
      <c r="R200" s="49"/>
      <c r="S200" s="49"/>
      <c r="T200" s="49"/>
      <c r="U200" s="49"/>
      <c r="V200" s="49"/>
    </row>
    <row r="201" spans="1:22" ht="15" customHeight="1" x14ac:dyDescent="0.25">
      <c r="A201" s="42" t="s">
        <v>83</v>
      </c>
      <c r="B201" s="33" t="s">
        <v>198</v>
      </c>
      <c r="C201" s="34" t="s">
        <v>86</v>
      </c>
      <c r="D201" s="33" t="s">
        <v>87</v>
      </c>
      <c r="E201" s="33" t="s">
        <v>84</v>
      </c>
      <c r="F201" s="33" t="s">
        <v>85</v>
      </c>
      <c r="G201" s="56"/>
      <c r="H201" s="24" t="s">
        <v>165</v>
      </c>
      <c r="I201" s="24" t="s">
        <v>169</v>
      </c>
      <c r="J201" s="24" t="s">
        <v>165</v>
      </c>
      <c r="K201" s="41" t="s">
        <v>169</v>
      </c>
      <c r="V201" s="36" t="s">
        <v>164</v>
      </c>
    </row>
    <row r="202" spans="1:22" ht="15" customHeight="1" x14ac:dyDescent="0.25">
      <c r="A202" s="236" t="s">
        <v>191</v>
      </c>
      <c r="B202" s="20" t="s">
        <v>199</v>
      </c>
      <c r="C202" s="19"/>
      <c r="D202" s="17"/>
      <c r="E202" s="18"/>
      <c r="F202" s="18"/>
      <c r="G202" s="56"/>
      <c r="H202" s="37" t="str">
        <f>IFERROR(VLOOKUP(E202,'Product Spec'!$O$1:$R$8,3,FALSE)," ")</f>
        <v xml:space="preserve"> </v>
      </c>
      <c r="I202" s="37" t="str">
        <f>IFERROR(C202*H202*P202," ")</f>
        <v xml:space="preserve"> </v>
      </c>
      <c r="J202" s="37" t="str">
        <f>IFERROR(VLOOKUP(E202,'Product Spec'!$O$1:$R$8,4,FALSE)," ")</f>
        <v xml:space="preserve"> </v>
      </c>
      <c r="K202" s="43" t="str">
        <f>IFERROR(C202*J202*P202," ")</f>
        <v xml:space="preserve"> </v>
      </c>
      <c r="P202" s="36">
        <f>IF(OR(D202=30,D202=45,D202=60),Q202,COS(R202))</f>
        <v>1</v>
      </c>
      <c r="Q202" s="36" t="e" cm="1">
        <f t="array" ref="Q202">_xlfn.IFS(D202=30,0.87,D202=45,0.7,D202=60,0.5)</f>
        <v>#N/A</v>
      </c>
      <c r="R202" s="36">
        <f>(PI()/180)*D202</f>
        <v>0</v>
      </c>
      <c r="S202" s="36" t="e">
        <f>H208/H209</f>
        <v>#VALUE!</v>
      </c>
      <c r="V202" s="36">
        <f xml:space="preserve"> C209*15</f>
        <v>0</v>
      </c>
    </row>
    <row r="203" spans="1:22" ht="15" customHeight="1" x14ac:dyDescent="0.25">
      <c r="A203" s="236"/>
      <c r="B203" s="20" t="s">
        <v>200</v>
      </c>
      <c r="C203" s="19"/>
      <c r="D203" s="17"/>
      <c r="E203" s="18"/>
      <c r="F203" s="18"/>
      <c r="G203" s="56"/>
      <c r="H203" s="37" t="str">
        <f>IFERROR(VLOOKUP(E203,'Product Spec'!$O$1:$R$8,3,FALSE)," ")</f>
        <v xml:space="preserve"> </v>
      </c>
      <c r="I203" s="37" t="str">
        <f t="shared" ref="I203:I207" si="63">IFERROR(C203*H203*P203," ")</f>
        <v xml:space="preserve"> </v>
      </c>
      <c r="J203" s="37" t="str">
        <f>IFERROR(VLOOKUP(E203,'Product Spec'!$O$1:$R$8,4,FALSE)," ")</f>
        <v xml:space="preserve"> </v>
      </c>
      <c r="K203" s="43" t="str">
        <f t="shared" ref="K203:K207" si="64">IFERROR(C203*J203*P203," ")</f>
        <v xml:space="preserve"> </v>
      </c>
      <c r="P203" s="36">
        <f t="shared" ref="P203:P207" si="65">IF(OR(D203=30,D203=45,D203=60),Q203,COS(R203))</f>
        <v>1</v>
      </c>
      <c r="Q203" s="36" t="e" cm="1">
        <f t="array" ref="Q203">_xlfn.IFS(D203=30,0.87,D203=45,0.7,D203=60,0.5)</f>
        <v>#N/A</v>
      </c>
      <c r="R203" s="36">
        <f t="shared" ref="R203:R207" si="66">(PI()/180)*D203</f>
        <v>0</v>
      </c>
      <c r="S203" s="36" t="e">
        <f>J208/J209</f>
        <v>#VALUE!</v>
      </c>
    </row>
    <row r="204" spans="1:22" ht="15" customHeight="1" x14ac:dyDescent="0.25">
      <c r="A204" s="236"/>
      <c r="B204" s="20" t="s">
        <v>201</v>
      </c>
      <c r="C204" s="19"/>
      <c r="D204" s="17"/>
      <c r="E204" s="18"/>
      <c r="F204" s="18"/>
      <c r="G204" s="56"/>
      <c r="H204" s="37" t="str">
        <f>IFERROR(VLOOKUP(E204,'Product Spec'!$O$1:$R$8,3,FALSE)," ")</f>
        <v xml:space="preserve"> </v>
      </c>
      <c r="I204" s="37" t="str">
        <f t="shared" si="63"/>
        <v xml:space="preserve"> </v>
      </c>
      <c r="J204" s="37" t="str">
        <f>IFERROR(VLOOKUP(E204,'Product Spec'!$O$1:$R$8,4,FALSE)," ")</f>
        <v xml:space="preserve"> </v>
      </c>
      <c r="K204" s="43" t="str">
        <f t="shared" si="64"/>
        <v xml:space="preserve"> </v>
      </c>
      <c r="P204" s="36">
        <f t="shared" si="65"/>
        <v>1</v>
      </c>
      <c r="Q204" s="36" t="e" cm="1">
        <f t="array" ref="Q204">_xlfn.IFS(D204=30,0.87,D204=45,0.7,D204=60,0.5)</f>
        <v>#N/A</v>
      </c>
      <c r="R204" s="36">
        <f t="shared" si="66"/>
        <v>0</v>
      </c>
    </row>
    <row r="205" spans="1:22" ht="15" customHeight="1" x14ac:dyDescent="0.25">
      <c r="A205" s="236"/>
      <c r="B205" s="20" t="s">
        <v>202</v>
      </c>
      <c r="C205" s="19"/>
      <c r="D205" s="17"/>
      <c r="E205" s="18"/>
      <c r="F205" s="18"/>
      <c r="G205" s="56"/>
      <c r="H205" s="37" t="str">
        <f>IFERROR(VLOOKUP(E205,'Product Spec'!$O$1:$R$8,3,FALSE)," ")</f>
        <v xml:space="preserve"> </v>
      </c>
      <c r="I205" s="37" t="str">
        <f t="shared" si="63"/>
        <v xml:space="preserve"> </v>
      </c>
      <c r="J205" s="37" t="str">
        <f>IFERROR(VLOOKUP(E205,'Product Spec'!$O$1:$R$8,4,FALSE)," ")</f>
        <v xml:space="preserve"> </v>
      </c>
      <c r="K205" s="43" t="str">
        <f t="shared" si="64"/>
        <v xml:space="preserve"> </v>
      </c>
      <c r="P205" s="36">
        <f t="shared" si="65"/>
        <v>1</v>
      </c>
      <c r="Q205" s="36" t="e" cm="1">
        <f t="array" ref="Q205">_xlfn.IFS(D205=30,0.87,D205=45,0.7,D205=60,0.5)</f>
        <v>#N/A</v>
      </c>
      <c r="R205" s="36">
        <f t="shared" si="66"/>
        <v>0</v>
      </c>
    </row>
    <row r="206" spans="1:22" ht="15" customHeight="1" x14ac:dyDescent="0.25">
      <c r="A206" s="236"/>
      <c r="B206" s="20" t="s">
        <v>203</v>
      </c>
      <c r="C206" s="19"/>
      <c r="D206" s="17"/>
      <c r="E206" s="18"/>
      <c r="F206" s="18"/>
      <c r="G206" s="56"/>
      <c r="H206" s="37" t="str">
        <f>IFERROR(VLOOKUP(E206,'Product Spec'!$O$1:$R$8,3,FALSE)," ")</f>
        <v xml:space="preserve"> </v>
      </c>
      <c r="I206" s="37" t="str">
        <f t="shared" si="63"/>
        <v xml:space="preserve"> </v>
      </c>
      <c r="J206" s="37" t="str">
        <f>IFERROR(VLOOKUP(E206,'Product Spec'!$O$1:$R$8,4,FALSE)," ")</f>
        <v xml:space="preserve"> </v>
      </c>
      <c r="K206" s="43" t="str">
        <f t="shared" si="64"/>
        <v xml:space="preserve"> </v>
      </c>
      <c r="P206" s="36">
        <f t="shared" si="65"/>
        <v>1</v>
      </c>
      <c r="Q206" s="36" t="e" cm="1">
        <f t="array" ref="Q206">_xlfn.IFS(D206=30,0.87,D206=45,0.7,D206=60,0.5)</f>
        <v>#N/A</v>
      </c>
      <c r="R206" s="36">
        <f t="shared" si="66"/>
        <v>0</v>
      </c>
    </row>
    <row r="207" spans="1:22" ht="15" customHeight="1" x14ac:dyDescent="0.25">
      <c r="A207" s="236"/>
      <c r="B207" s="20" t="s">
        <v>204</v>
      </c>
      <c r="C207" s="19"/>
      <c r="D207" s="17"/>
      <c r="E207" s="18"/>
      <c r="F207" s="18"/>
      <c r="G207" s="56"/>
      <c r="H207" s="37" t="str">
        <f>IFERROR(VLOOKUP(E207,'Product Spec'!$O$1:$R$8,3,FALSE)," ")</f>
        <v xml:space="preserve"> </v>
      </c>
      <c r="I207" s="37" t="str">
        <f t="shared" si="63"/>
        <v xml:space="preserve"> </v>
      </c>
      <c r="J207" s="37" t="str">
        <f>IFERROR(VLOOKUP(E207,'Product Spec'!$O$1:$R$8,4,FALSE)," ")</f>
        <v xml:space="preserve"> </v>
      </c>
      <c r="K207" s="43" t="str">
        <f t="shared" si="64"/>
        <v xml:space="preserve"> </v>
      </c>
      <c r="P207" s="36">
        <f t="shared" si="65"/>
        <v>1</v>
      </c>
      <c r="Q207" s="36" t="e" cm="1">
        <f t="array" ref="Q207">_xlfn.IFS(D207=30,0.87,D207=45,0.7,D207=60,0.5)</f>
        <v>#N/A</v>
      </c>
      <c r="R207" s="36">
        <f t="shared" si="66"/>
        <v>0</v>
      </c>
    </row>
    <row r="208" spans="1:22" ht="15" customHeight="1" x14ac:dyDescent="0.25">
      <c r="A208" s="236"/>
      <c r="B208" s="98" t="s">
        <v>170</v>
      </c>
      <c r="C208" s="99"/>
      <c r="D208" s="99"/>
      <c r="E208" s="99"/>
      <c r="F208" s="99"/>
      <c r="G208" s="100"/>
      <c r="H208" s="217" cm="1">
        <f t="array" ref="H208">IF(D130&lt;7,0,SUM(IFERROR(I202:I207,0)))</f>
        <v>0</v>
      </c>
      <c r="I208" s="217"/>
      <c r="J208" s="217" cm="1">
        <f t="array" ref="J208">IF(D130&lt;7,0,SUM(IFERROR(K202:K207,0)))</f>
        <v>0</v>
      </c>
      <c r="K208" s="218"/>
    </row>
    <row r="209" spans="1:22" ht="15" customHeight="1" x14ac:dyDescent="0.25">
      <c r="A209" s="44" t="s">
        <v>168</v>
      </c>
      <c r="B209" s="160"/>
      <c r="C209" s="161"/>
      <c r="D209" s="99" t="s">
        <v>166</v>
      </c>
      <c r="E209" s="99"/>
      <c r="F209" s="99"/>
      <c r="G209" s="100"/>
      <c r="H209" s="147" t="e">
        <f>MAX(100,(0.5*$D$125)/$D$130,V202)</f>
        <v>#VALUE!</v>
      </c>
      <c r="I209" s="148"/>
      <c r="J209" s="147" t="e">
        <f>MAX(100,(0.5*$I$125)/$D$130,V202)</f>
        <v>#VALUE!</v>
      </c>
      <c r="K209" s="149"/>
    </row>
    <row r="210" spans="1:22" s="49" customFormat="1" ht="15" customHeight="1" x14ac:dyDescent="0.25">
      <c r="A210" s="208" t="e">
        <f>IF(OR(S202&lt;1,S203&lt;1),"Warning: Doesn’t meet the minimum BU's requirement per line."," ")</f>
        <v>#VALUE!</v>
      </c>
      <c r="B210" s="209"/>
      <c r="C210" s="209"/>
      <c r="D210" s="209"/>
      <c r="E210" s="209"/>
      <c r="F210" s="209"/>
      <c r="G210" s="209"/>
      <c r="H210" s="209"/>
      <c r="I210" s="209"/>
      <c r="J210" s="209"/>
      <c r="K210" s="210"/>
      <c r="L210" s="51"/>
    </row>
    <row r="211" spans="1:22" ht="15" customHeight="1" x14ac:dyDescent="0.25">
      <c r="A211" s="214"/>
      <c r="B211" s="215"/>
      <c r="C211" s="215"/>
      <c r="D211" s="215"/>
      <c r="E211" s="215"/>
      <c r="F211" s="215"/>
      <c r="G211" s="215"/>
      <c r="H211" s="215"/>
      <c r="I211" s="215"/>
      <c r="J211" s="215"/>
      <c r="K211" s="216"/>
      <c r="M211" s="49"/>
      <c r="N211" s="49"/>
      <c r="O211" s="49"/>
      <c r="P211" s="49"/>
      <c r="Q211" s="49"/>
      <c r="R211" s="49"/>
      <c r="S211" s="49"/>
      <c r="T211" s="49"/>
      <c r="U211" s="49"/>
      <c r="V211" s="49"/>
    </row>
    <row r="212" spans="1:22" ht="15" customHeight="1" x14ac:dyDescent="0.25">
      <c r="A212" s="42" t="s">
        <v>83</v>
      </c>
      <c r="B212" s="33" t="s">
        <v>198</v>
      </c>
      <c r="C212" s="34" t="s">
        <v>86</v>
      </c>
      <c r="D212" s="33" t="s">
        <v>87</v>
      </c>
      <c r="E212" s="33" t="s">
        <v>84</v>
      </c>
      <c r="F212" s="33" t="s">
        <v>85</v>
      </c>
      <c r="G212" s="56"/>
      <c r="H212" s="24" t="s">
        <v>165</v>
      </c>
      <c r="I212" s="24" t="s">
        <v>169</v>
      </c>
      <c r="J212" s="24" t="s">
        <v>165</v>
      </c>
      <c r="K212" s="41" t="s">
        <v>169</v>
      </c>
      <c r="V212" s="36" t="s">
        <v>164</v>
      </c>
    </row>
    <row r="213" spans="1:22" ht="15" customHeight="1" x14ac:dyDescent="0.25">
      <c r="A213" s="236" t="s">
        <v>192</v>
      </c>
      <c r="B213" s="20" t="s">
        <v>199</v>
      </c>
      <c r="C213" s="19"/>
      <c r="D213" s="17"/>
      <c r="E213" s="18"/>
      <c r="F213" s="18"/>
      <c r="G213" s="56"/>
      <c r="H213" s="37" t="str">
        <f>IFERROR(VLOOKUP(E213,'Product Spec'!$O$1:$R$8,3,FALSE)," ")</f>
        <v xml:space="preserve"> </v>
      </c>
      <c r="I213" s="37" t="str">
        <f>IFERROR(C213*H213*P213," ")</f>
        <v xml:space="preserve"> </v>
      </c>
      <c r="J213" s="37" t="str">
        <f>IFERROR(VLOOKUP(E213,'Product Spec'!$O$1:$R$8,4,FALSE)," ")</f>
        <v xml:space="preserve"> </v>
      </c>
      <c r="K213" s="43" t="str">
        <f>IFERROR(C213*J213*P213," ")</f>
        <v xml:space="preserve"> </v>
      </c>
      <c r="P213" s="36">
        <f>IF(OR(D213=30,D213=45,D213=60),Q213,COS(R213))</f>
        <v>1</v>
      </c>
      <c r="Q213" s="36" t="e" cm="1">
        <f t="array" ref="Q213">_xlfn.IFS(D213=30,0.87,D213=45,0.7,D213=60,0.5)</f>
        <v>#N/A</v>
      </c>
      <c r="R213" s="36">
        <f>(PI()/180)*D213</f>
        <v>0</v>
      </c>
      <c r="S213" s="36" t="e">
        <f>H219/H220</f>
        <v>#VALUE!</v>
      </c>
      <c r="V213" s="36">
        <f xml:space="preserve"> C220*15</f>
        <v>0</v>
      </c>
    </row>
    <row r="214" spans="1:22" ht="15" customHeight="1" x14ac:dyDescent="0.25">
      <c r="A214" s="236"/>
      <c r="B214" s="20" t="s">
        <v>200</v>
      </c>
      <c r="C214" s="19"/>
      <c r="D214" s="17"/>
      <c r="E214" s="18"/>
      <c r="F214" s="18"/>
      <c r="G214" s="56"/>
      <c r="H214" s="37" t="str">
        <f>IFERROR(VLOOKUP(E214,'Product Spec'!$O$1:$R$8,3,FALSE)," ")</f>
        <v xml:space="preserve"> </v>
      </c>
      <c r="I214" s="37" t="str">
        <f t="shared" ref="I214:I218" si="67">IFERROR(C214*H214*P214," ")</f>
        <v xml:space="preserve"> </v>
      </c>
      <c r="J214" s="37" t="str">
        <f>IFERROR(VLOOKUP(E214,'Product Spec'!$O$1:$R$8,4,FALSE)," ")</f>
        <v xml:space="preserve"> </v>
      </c>
      <c r="K214" s="43" t="str">
        <f t="shared" ref="K214:K218" si="68">IFERROR(C214*J214*P214," ")</f>
        <v xml:space="preserve"> </v>
      </c>
      <c r="P214" s="36">
        <f t="shared" ref="P214:P218" si="69">IF(OR(D214=30,D214=45,D214=60),Q214,COS(R214))</f>
        <v>1</v>
      </c>
      <c r="Q214" s="36" t="e" cm="1">
        <f t="array" ref="Q214">_xlfn.IFS(D214=30,0.87,D214=45,0.7,D214=60,0.5)</f>
        <v>#N/A</v>
      </c>
      <c r="R214" s="36">
        <f t="shared" ref="R214:R218" si="70">(PI()/180)*D214</f>
        <v>0</v>
      </c>
      <c r="S214" s="36" t="e">
        <f>J219/J220</f>
        <v>#VALUE!</v>
      </c>
    </row>
    <row r="215" spans="1:22" ht="15" customHeight="1" x14ac:dyDescent="0.25">
      <c r="A215" s="236"/>
      <c r="B215" s="20" t="s">
        <v>201</v>
      </c>
      <c r="C215" s="19"/>
      <c r="D215" s="17"/>
      <c r="E215" s="18"/>
      <c r="F215" s="18"/>
      <c r="G215" s="56"/>
      <c r="H215" s="37" t="str">
        <f>IFERROR(VLOOKUP(E215,'Product Spec'!$O$1:$R$8,3,FALSE)," ")</f>
        <v xml:space="preserve"> </v>
      </c>
      <c r="I215" s="37" t="str">
        <f t="shared" si="67"/>
        <v xml:space="preserve"> </v>
      </c>
      <c r="J215" s="37" t="str">
        <f>IFERROR(VLOOKUP(E215,'Product Spec'!$O$1:$R$8,4,FALSE)," ")</f>
        <v xml:space="preserve"> </v>
      </c>
      <c r="K215" s="43" t="str">
        <f t="shared" si="68"/>
        <v xml:space="preserve"> </v>
      </c>
      <c r="P215" s="36">
        <f t="shared" si="69"/>
        <v>1</v>
      </c>
      <c r="Q215" s="36" t="e" cm="1">
        <f t="array" ref="Q215">_xlfn.IFS(D215=30,0.87,D215=45,0.7,D215=60,0.5)</f>
        <v>#N/A</v>
      </c>
      <c r="R215" s="36">
        <f t="shared" si="70"/>
        <v>0</v>
      </c>
    </row>
    <row r="216" spans="1:22" ht="15" customHeight="1" x14ac:dyDescent="0.25">
      <c r="A216" s="236"/>
      <c r="B216" s="20" t="s">
        <v>202</v>
      </c>
      <c r="C216" s="19"/>
      <c r="D216" s="17"/>
      <c r="E216" s="18"/>
      <c r="F216" s="18"/>
      <c r="G216" s="56"/>
      <c r="H216" s="37" t="str">
        <f>IFERROR(VLOOKUP(E216,'Product Spec'!$O$1:$R$8,3,FALSE)," ")</f>
        <v xml:space="preserve"> </v>
      </c>
      <c r="I216" s="37" t="str">
        <f t="shared" si="67"/>
        <v xml:space="preserve"> </v>
      </c>
      <c r="J216" s="37" t="str">
        <f>IFERROR(VLOOKUP(E216,'Product Spec'!$O$1:$R$8,4,FALSE)," ")</f>
        <v xml:space="preserve"> </v>
      </c>
      <c r="K216" s="43" t="str">
        <f t="shared" si="68"/>
        <v xml:space="preserve"> </v>
      </c>
      <c r="P216" s="36">
        <f t="shared" si="69"/>
        <v>1</v>
      </c>
      <c r="Q216" s="36" t="e" cm="1">
        <f t="array" ref="Q216">_xlfn.IFS(D216=30,0.87,D216=45,0.7,D216=60,0.5)</f>
        <v>#N/A</v>
      </c>
      <c r="R216" s="36">
        <f t="shared" si="70"/>
        <v>0</v>
      </c>
    </row>
    <row r="217" spans="1:22" ht="15" customHeight="1" x14ac:dyDescent="0.25">
      <c r="A217" s="236"/>
      <c r="B217" s="20" t="s">
        <v>203</v>
      </c>
      <c r="C217" s="19"/>
      <c r="D217" s="17"/>
      <c r="E217" s="18"/>
      <c r="F217" s="18"/>
      <c r="G217" s="56"/>
      <c r="H217" s="37" t="str">
        <f>IFERROR(VLOOKUP(E217,'Product Spec'!$O$1:$R$8,3,FALSE)," ")</f>
        <v xml:space="preserve"> </v>
      </c>
      <c r="I217" s="37" t="str">
        <f t="shared" si="67"/>
        <v xml:space="preserve"> </v>
      </c>
      <c r="J217" s="37" t="str">
        <f>IFERROR(VLOOKUP(E217,'Product Spec'!$O$1:$R$8,4,FALSE)," ")</f>
        <v xml:space="preserve"> </v>
      </c>
      <c r="K217" s="43" t="str">
        <f t="shared" si="68"/>
        <v xml:space="preserve"> </v>
      </c>
      <c r="P217" s="36">
        <f t="shared" si="69"/>
        <v>1</v>
      </c>
      <c r="Q217" s="36" t="e" cm="1">
        <f t="array" ref="Q217">_xlfn.IFS(D217=30,0.87,D217=45,0.7,D217=60,0.5)</f>
        <v>#N/A</v>
      </c>
      <c r="R217" s="36">
        <f t="shared" si="70"/>
        <v>0</v>
      </c>
    </row>
    <row r="218" spans="1:22" ht="15" customHeight="1" x14ac:dyDescent="0.25">
      <c r="A218" s="236"/>
      <c r="B218" s="20" t="s">
        <v>204</v>
      </c>
      <c r="C218" s="19"/>
      <c r="D218" s="17"/>
      <c r="E218" s="18"/>
      <c r="F218" s="18"/>
      <c r="G218" s="56"/>
      <c r="H218" s="37" t="str">
        <f>IFERROR(VLOOKUP(E218,'Product Spec'!$O$1:$R$8,3,FALSE)," ")</f>
        <v xml:space="preserve"> </v>
      </c>
      <c r="I218" s="37" t="str">
        <f t="shared" si="67"/>
        <v xml:space="preserve"> </v>
      </c>
      <c r="J218" s="37" t="str">
        <f>IFERROR(VLOOKUP(E218,'Product Spec'!$O$1:$R$8,4,FALSE)," ")</f>
        <v xml:space="preserve"> </v>
      </c>
      <c r="K218" s="43" t="str">
        <f t="shared" si="68"/>
        <v xml:space="preserve"> </v>
      </c>
      <c r="P218" s="36">
        <f t="shared" si="69"/>
        <v>1</v>
      </c>
      <c r="Q218" s="36" t="e" cm="1">
        <f t="array" ref="Q218">_xlfn.IFS(D218=30,0.87,D218=45,0.7,D218=60,0.5)</f>
        <v>#N/A</v>
      </c>
      <c r="R218" s="36">
        <f t="shared" si="70"/>
        <v>0</v>
      </c>
    </row>
    <row r="219" spans="1:22" ht="15" customHeight="1" x14ac:dyDescent="0.25">
      <c r="A219" s="236"/>
      <c r="B219" s="98" t="s">
        <v>170</v>
      </c>
      <c r="C219" s="99"/>
      <c r="D219" s="99"/>
      <c r="E219" s="99"/>
      <c r="F219" s="99"/>
      <c r="G219" s="100"/>
      <c r="H219" s="217" cm="1">
        <f t="array" ref="H219">IF(D130&lt;8,0,SUM(IFERROR(I213:I218,0)))</f>
        <v>0</v>
      </c>
      <c r="I219" s="217"/>
      <c r="J219" s="217" cm="1">
        <f t="array" ref="J219">IF(D130&lt;8,0,SUM(IFERROR(K213:K218,0)))</f>
        <v>0</v>
      </c>
      <c r="K219" s="218"/>
    </row>
    <row r="220" spans="1:22" ht="15" customHeight="1" x14ac:dyDescent="0.25">
      <c r="A220" s="44" t="s">
        <v>168</v>
      </c>
      <c r="B220" s="160"/>
      <c r="C220" s="161"/>
      <c r="D220" s="99" t="s">
        <v>166</v>
      </c>
      <c r="E220" s="99"/>
      <c r="F220" s="99"/>
      <c r="G220" s="100"/>
      <c r="H220" s="147" t="e">
        <f>MAX(100,(0.5*$D$125)/$D$130,V213)</f>
        <v>#VALUE!</v>
      </c>
      <c r="I220" s="148"/>
      <c r="J220" s="147" t="e">
        <f>MAX(100,(0.5*$I$125)/$D$130,V213)</f>
        <v>#VALUE!</v>
      </c>
      <c r="K220" s="149"/>
    </row>
    <row r="221" spans="1:22" s="49" customFormat="1" ht="15" customHeight="1" x14ac:dyDescent="0.25">
      <c r="A221" s="208" t="e">
        <f>IF(OR(S213&lt;1,S214&lt;1),"Warning: Doesn’t meet the minimum BU's requirement per line."," ")</f>
        <v>#VALUE!</v>
      </c>
      <c r="B221" s="209"/>
      <c r="C221" s="209"/>
      <c r="D221" s="209"/>
      <c r="E221" s="209"/>
      <c r="F221" s="209"/>
      <c r="G221" s="209"/>
      <c r="H221" s="209"/>
      <c r="I221" s="209"/>
      <c r="J221" s="209"/>
      <c r="K221" s="210"/>
      <c r="L221" s="51"/>
    </row>
    <row r="222" spans="1:22" ht="15" customHeight="1" x14ac:dyDescent="0.25">
      <c r="A222" s="214"/>
      <c r="B222" s="215"/>
      <c r="C222" s="215"/>
      <c r="D222" s="215"/>
      <c r="E222" s="215"/>
      <c r="F222" s="215"/>
      <c r="G222" s="215"/>
      <c r="H222" s="215"/>
      <c r="I222" s="215"/>
      <c r="J222" s="215"/>
      <c r="K222" s="216"/>
      <c r="M222" s="49"/>
      <c r="N222" s="49"/>
      <c r="O222" s="49"/>
      <c r="P222" s="49"/>
      <c r="Q222" s="49"/>
      <c r="R222" s="49"/>
      <c r="S222" s="49"/>
      <c r="T222" s="49"/>
      <c r="U222" s="49"/>
      <c r="V222" s="49"/>
    </row>
    <row r="223" spans="1:22" ht="15" customHeight="1" x14ac:dyDescent="0.25">
      <c r="A223" s="42" t="s">
        <v>83</v>
      </c>
      <c r="B223" s="33" t="s">
        <v>198</v>
      </c>
      <c r="C223" s="34" t="s">
        <v>86</v>
      </c>
      <c r="D223" s="33" t="s">
        <v>87</v>
      </c>
      <c r="E223" s="33" t="s">
        <v>84</v>
      </c>
      <c r="F223" s="33" t="s">
        <v>85</v>
      </c>
      <c r="G223" s="56"/>
      <c r="H223" s="24" t="s">
        <v>165</v>
      </c>
      <c r="I223" s="24" t="s">
        <v>169</v>
      </c>
      <c r="J223" s="24" t="s">
        <v>165</v>
      </c>
      <c r="K223" s="41" t="s">
        <v>169</v>
      </c>
      <c r="V223" s="36" t="s">
        <v>164</v>
      </c>
    </row>
    <row r="224" spans="1:22" ht="15" customHeight="1" x14ac:dyDescent="0.25">
      <c r="A224" s="236" t="s">
        <v>193</v>
      </c>
      <c r="B224" s="20" t="s">
        <v>199</v>
      </c>
      <c r="C224" s="19"/>
      <c r="D224" s="17"/>
      <c r="E224" s="18"/>
      <c r="F224" s="18"/>
      <c r="G224" s="56"/>
      <c r="H224" s="37" t="str">
        <f>IFERROR(VLOOKUP(E224,'Product Spec'!$O$1:$R$8,3,FALSE)," ")</f>
        <v xml:space="preserve"> </v>
      </c>
      <c r="I224" s="37">
        <v>0</v>
      </c>
      <c r="J224" s="37" t="str">
        <f>IFERROR(VLOOKUP(E224,'Product Spec'!$O$1:$R$8,4,FALSE)," ")</f>
        <v xml:space="preserve"> </v>
      </c>
      <c r="K224" s="43" t="str">
        <f>IFERROR(C224*J224*P224," ")</f>
        <v xml:space="preserve"> </v>
      </c>
      <c r="P224" s="36">
        <f>IF(OR(D224=30,D224=45,D224=60),Q224,COS(R224))</f>
        <v>1</v>
      </c>
      <c r="Q224" s="36" t="e" cm="1">
        <f t="array" ref="Q224">_xlfn.IFS(D224=30,0.87,D224=45,0.7,D224=60,0.5)</f>
        <v>#N/A</v>
      </c>
      <c r="R224" s="36">
        <f>(PI()/180)*D224</f>
        <v>0</v>
      </c>
      <c r="S224" s="36" t="e">
        <f>H230/H231</f>
        <v>#VALUE!</v>
      </c>
      <c r="V224" s="36">
        <f xml:space="preserve"> C231*15</f>
        <v>0</v>
      </c>
    </row>
    <row r="225" spans="1:22" ht="15" customHeight="1" x14ac:dyDescent="0.25">
      <c r="A225" s="236"/>
      <c r="B225" s="20" t="s">
        <v>200</v>
      </c>
      <c r="C225" s="19"/>
      <c r="D225" s="17"/>
      <c r="E225" s="18"/>
      <c r="F225" s="18"/>
      <c r="G225" s="56"/>
      <c r="H225" s="37" t="str">
        <f>IFERROR(VLOOKUP(E225,'Product Spec'!$O$1:$R$8,3,FALSE)," ")</f>
        <v xml:space="preserve"> </v>
      </c>
      <c r="I225" s="37" t="s">
        <v>179</v>
      </c>
      <c r="J225" s="37" t="str">
        <f>IFERROR(VLOOKUP(E225,'Product Spec'!$O$1:$R$8,4,FALSE)," ")</f>
        <v xml:space="preserve"> </v>
      </c>
      <c r="K225" s="43" t="str">
        <f t="shared" ref="K225:K229" si="71">IFERROR(C225*J225*P225," ")</f>
        <v xml:space="preserve"> </v>
      </c>
      <c r="P225" s="36">
        <f t="shared" ref="P225:P229" si="72">IF(OR(D225=30,D225=45,D225=60),Q225,COS(R225))</f>
        <v>1</v>
      </c>
      <c r="Q225" s="36" t="e" cm="1">
        <f t="array" ref="Q225">_xlfn.IFS(D225=30,0.87,D225=45,0.7,D225=60,0.5)</f>
        <v>#N/A</v>
      </c>
      <c r="R225" s="36">
        <f t="shared" ref="R225:R229" si="73">(PI()/180)*D225</f>
        <v>0</v>
      </c>
      <c r="S225" s="36" t="e">
        <f>J230/J231</f>
        <v>#VALUE!</v>
      </c>
    </row>
    <row r="226" spans="1:22" ht="15" customHeight="1" x14ac:dyDescent="0.25">
      <c r="A226" s="236"/>
      <c r="B226" s="20" t="s">
        <v>201</v>
      </c>
      <c r="C226" s="19"/>
      <c r="D226" s="17"/>
      <c r="E226" s="18"/>
      <c r="F226" s="18"/>
      <c r="G226" s="56"/>
      <c r="H226" s="37" t="str">
        <f>IFERROR(VLOOKUP(E226,'Product Spec'!$O$1:$R$8,3,FALSE)," ")</f>
        <v xml:space="preserve"> </v>
      </c>
      <c r="I226" s="37" t="s">
        <v>179</v>
      </c>
      <c r="J226" s="37" t="str">
        <f>IFERROR(VLOOKUP(E226,'Product Spec'!$O$1:$R$8,4,FALSE)," ")</f>
        <v xml:space="preserve"> </v>
      </c>
      <c r="K226" s="43" t="str">
        <f t="shared" si="71"/>
        <v xml:space="preserve"> </v>
      </c>
      <c r="P226" s="36">
        <f t="shared" si="72"/>
        <v>1</v>
      </c>
      <c r="Q226" s="36" t="e" cm="1">
        <f t="array" ref="Q226">_xlfn.IFS(D226=30,0.87,D226=45,0.7,D226=60,0.5)</f>
        <v>#N/A</v>
      </c>
      <c r="R226" s="36">
        <f t="shared" si="73"/>
        <v>0</v>
      </c>
    </row>
    <row r="227" spans="1:22" ht="15" customHeight="1" x14ac:dyDescent="0.25">
      <c r="A227" s="236"/>
      <c r="B227" s="20" t="s">
        <v>202</v>
      </c>
      <c r="C227" s="19"/>
      <c r="D227" s="17"/>
      <c r="E227" s="18"/>
      <c r="F227" s="18"/>
      <c r="G227" s="56"/>
      <c r="H227" s="37" t="str">
        <f>IFERROR(VLOOKUP(E227,'Product Spec'!$O$1:$R$8,3,FALSE)," ")</f>
        <v xml:space="preserve"> </v>
      </c>
      <c r="I227" s="37" t="s">
        <v>179</v>
      </c>
      <c r="J227" s="37" t="str">
        <f>IFERROR(VLOOKUP(E227,'Product Spec'!$O$1:$R$8,4,FALSE)," ")</f>
        <v xml:space="preserve"> </v>
      </c>
      <c r="K227" s="43" t="str">
        <f t="shared" si="71"/>
        <v xml:space="preserve"> </v>
      </c>
      <c r="P227" s="36">
        <f t="shared" si="72"/>
        <v>1</v>
      </c>
      <c r="Q227" s="36" t="e" cm="1">
        <f t="array" ref="Q227">_xlfn.IFS(D227=30,0.87,D227=45,0.7,D227=60,0.5)</f>
        <v>#N/A</v>
      </c>
      <c r="R227" s="36">
        <f t="shared" si="73"/>
        <v>0</v>
      </c>
    </row>
    <row r="228" spans="1:22" ht="15" customHeight="1" x14ac:dyDescent="0.25">
      <c r="A228" s="236"/>
      <c r="B228" s="20" t="s">
        <v>203</v>
      </c>
      <c r="C228" s="19"/>
      <c r="D228" s="17"/>
      <c r="E228" s="18"/>
      <c r="F228" s="18"/>
      <c r="G228" s="56"/>
      <c r="H228" s="37" t="str">
        <f>IFERROR(VLOOKUP(E228,'Product Spec'!$O$1:$R$8,3,FALSE)," ")</f>
        <v xml:space="preserve"> </v>
      </c>
      <c r="I228" s="37" t="s">
        <v>179</v>
      </c>
      <c r="J228" s="37" t="str">
        <f>IFERROR(VLOOKUP(E228,'Product Spec'!$O$1:$R$8,4,FALSE)," ")</f>
        <v xml:space="preserve"> </v>
      </c>
      <c r="K228" s="43" t="str">
        <f t="shared" si="71"/>
        <v xml:space="preserve"> </v>
      </c>
      <c r="P228" s="36">
        <f t="shared" si="72"/>
        <v>1</v>
      </c>
      <c r="Q228" s="36" t="e" cm="1">
        <f t="array" ref="Q228">_xlfn.IFS(D228=30,0.87,D228=45,0.7,D228=60,0.5)</f>
        <v>#N/A</v>
      </c>
      <c r="R228" s="36">
        <f t="shared" si="73"/>
        <v>0</v>
      </c>
    </row>
    <row r="229" spans="1:22" ht="15" customHeight="1" x14ac:dyDescent="0.25">
      <c r="A229" s="236"/>
      <c r="B229" s="20" t="s">
        <v>204</v>
      </c>
      <c r="C229" s="19"/>
      <c r="D229" s="17"/>
      <c r="E229" s="18"/>
      <c r="F229" s="18"/>
      <c r="G229" s="56"/>
      <c r="H229" s="37" t="str">
        <f>IFERROR(VLOOKUP(E229,'Product Spec'!$O$1:$R$8,3,FALSE)," ")</f>
        <v xml:space="preserve"> </v>
      </c>
      <c r="I229" s="37">
        <v>0</v>
      </c>
      <c r="J229" s="37" t="str">
        <f>IFERROR(VLOOKUP(E229,'Product Spec'!$O$1:$R$8,4,FALSE)," ")</f>
        <v xml:space="preserve"> </v>
      </c>
      <c r="K229" s="43" t="str">
        <f t="shared" si="71"/>
        <v xml:space="preserve"> </v>
      </c>
      <c r="P229" s="36">
        <f t="shared" si="72"/>
        <v>1</v>
      </c>
      <c r="Q229" s="36" t="e" cm="1">
        <f t="array" ref="Q229">_xlfn.IFS(D229=30,0.87,D229=45,0.7,D229=60,0.5)</f>
        <v>#N/A</v>
      </c>
      <c r="R229" s="36">
        <f t="shared" si="73"/>
        <v>0</v>
      </c>
    </row>
    <row r="230" spans="1:22" ht="15" customHeight="1" x14ac:dyDescent="0.25">
      <c r="A230" s="236"/>
      <c r="B230" s="98" t="s">
        <v>170</v>
      </c>
      <c r="C230" s="99"/>
      <c r="D230" s="99"/>
      <c r="E230" s="99"/>
      <c r="F230" s="99"/>
      <c r="G230" s="100"/>
      <c r="H230" s="217" cm="1">
        <f t="array" ref="H230">IF(D130&lt;9,0,SUM(IFERROR(I224:I229,0)))</f>
        <v>0</v>
      </c>
      <c r="I230" s="217"/>
      <c r="J230" s="217" cm="1">
        <f t="array" ref="J230">IF(D130&lt;9,0,SUM(IFERROR(K224:K229,0)))</f>
        <v>0</v>
      </c>
      <c r="K230" s="218"/>
    </row>
    <row r="231" spans="1:22" ht="15" customHeight="1" x14ac:dyDescent="0.25">
      <c r="A231" s="44" t="s">
        <v>168</v>
      </c>
      <c r="B231" s="160"/>
      <c r="C231" s="161"/>
      <c r="D231" s="99" t="s">
        <v>166</v>
      </c>
      <c r="E231" s="99"/>
      <c r="F231" s="99"/>
      <c r="G231" s="100"/>
      <c r="H231" s="147" t="e">
        <f>MAX(100,(0.5*$D$125)/$D$130,V224)</f>
        <v>#VALUE!</v>
      </c>
      <c r="I231" s="148"/>
      <c r="J231" s="147" t="e">
        <f>MAX(100,(0.5*$I$125)/$D$130,V224)</f>
        <v>#VALUE!</v>
      </c>
      <c r="K231" s="149"/>
    </row>
    <row r="232" spans="1:22" s="49" customFormat="1" ht="15" customHeight="1" x14ac:dyDescent="0.25">
      <c r="A232" s="208" t="e">
        <f>IF(OR(S224&lt;1,S225&lt;1),"Warning: Doesn’t meet the minimum BU's requirement per line."," ")</f>
        <v>#VALUE!</v>
      </c>
      <c r="B232" s="209"/>
      <c r="C232" s="209"/>
      <c r="D232" s="209"/>
      <c r="E232" s="209"/>
      <c r="F232" s="209"/>
      <c r="G232" s="209"/>
      <c r="H232" s="209"/>
      <c r="I232" s="209"/>
      <c r="J232" s="209"/>
      <c r="K232" s="210"/>
      <c r="L232" s="51"/>
    </row>
    <row r="233" spans="1:22" ht="15" customHeight="1" x14ac:dyDescent="0.25">
      <c r="A233" s="214"/>
      <c r="B233" s="215"/>
      <c r="C233" s="215"/>
      <c r="D233" s="215"/>
      <c r="E233" s="215"/>
      <c r="F233" s="215"/>
      <c r="G233" s="215"/>
      <c r="H233" s="215"/>
      <c r="I233" s="215"/>
      <c r="J233" s="215"/>
      <c r="K233" s="216"/>
      <c r="M233" s="49"/>
      <c r="N233" s="49"/>
      <c r="O233" s="49"/>
      <c r="P233" s="49"/>
      <c r="Q233" s="49"/>
      <c r="R233" s="49"/>
      <c r="S233" s="49"/>
      <c r="T233" s="49"/>
      <c r="U233" s="49"/>
      <c r="V233" s="49"/>
    </row>
    <row r="234" spans="1:22" ht="15" customHeight="1" x14ac:dyDescent="0.25">
      <c r="A234" s="42" t="s">
        <v>83</v>
      </c>
      <c r="B234" s="33" t="s">
        <v>198</v>
      </c>
      <c r="C234" s="34" t="s">
        <v>86</v>
      </c>
      <c r="D234" s="33" t="s">
        <v>87</v>
      </c>
      <c r="E234" s="33" t="s">
        <v>84</v>
      </c>
      <c r="F234" s="33" t="s">
        <v>85</v>
      </c>
      <c r="G234" s="56"/>
      <c r="H234" s="24" t="s">
        <v>165</v>
      </c>
      <c r="I234" s="24" t="s">
        <v>169</v>
      </c>
      <c r="J234" s="24" t="s">
        <v>165</v>
      </c>
      <c r="K234" s="41" t="s">
        <v>169</v>
      </c>
      <c r="V234" s="36" t="s">
        <v>164</v>
      </c>
    </row>
    <row r="235" spans="1:22" ht="15" customHeight="1" x14ac:dyDescent="0.25">
      <c r="A235" s="236" t="s">
        <v>194</v>
      </c>
      <c r="B235" s="20" t="s">
        <v>199</v>
      </c>
      <c r="C235" s="19"/>
      <c r="D235" s="17"/>
      <c r="E235" s="18"/>
      <c r="F235" s="18"/>
      <c r="G235" s="56"/>
      <c r="H235" s="37" t="str">
        <f>IFERROR(VLOOKUP(E235,'Product Spec'!$O$1:$R$8,3,FALSE)," ")</f>
        <v xml:space="preserve"> </v>
      </c>
      <c r="I235" s="37" t="str">
        <f>IFERROR(C235*H235*P235," ")</f>
        <v xml:space="preserve"> </v>
      </c>
      <c r="J235" s="37" t="str">
        <f>IFERROR(VLOOKUP(E235,'Product Spec'!$O$1:$R$8,4,FALSE)," ")</f>
        <v xml:space="preserve"> </v>
      </c>
      <c r="K235" s="43" t="str">
        <f>IFERROR(C235*J235*P235," ")</f>
        <v xml:space="preserve"> </v>
      </c>
      <c r="P235" s="36">
        <f>IF(OR(D235=30,D235=45,D235=60),Q235,COS(R235))</f>
        <v>1</v>
      </c>
      <c r="Q235" s="36" t="e" cm="1">
        <f t="array" ref="Q235">_xlfn.IFS(D235=30,0.87,D235=45,0.7,D235=60,0.5)</f>
        <v>#N/A</v>
      </c>
      <c r="R235" s="36">
        <f>(PI()/180)*D235</f>
        <v>0</v>
      </c>
      <c r="S235" s="36" t="e">
        <f>H241/H242</f>
        <v>#VALUE!</v>
      </c>
      <c r="V235" s="36">
        <f xml:space="preserve"> C242*15</f>
        <v>0</v>
      </c>
    </row>
    <row r="236" spans="1:22" ht="15" customHeight="1" x14ac:dyDescent="0.25">
      <c r="A236" s="236"/>
      <c r="B236" s="20" t="s">
        <v>200</v>
      </c>
      <c r="C236" s="19"/>
      <c r="D236" s="17"/>
      <c r="E236" s="18"/>
      <c r="F236" s="18"/>
      <c r="G236" s="56"/>
      <c r="H236" s="37" t="str">
        <f>IFERROR(VLOOKUP(E236,'Product Spec'!$O$1:$R$8,3,FALSE)," ")</f>
        <v xml:space="preserve"> </v>
      </c>
      <c r="I236" s="37" t="str">
        <f>IFERROR(C236*H236*P236," ")</f>
        <v xml:space="preserve"> </v>
      </c>
      <c r="J236" s="37" t="str">
        <f>IFERROR(VLOOKUP(E236,'Product Spec'!$O$1:$R$8,4,FALSE)," ")</f>
        <v xml:space="preserve"> </v>
      </c>
      <c r="K236" s="43" t="str">
        <f t="shared" ref="K236:K240" si="74">IFERROR(C236*J236*P236," ")</f>
        <v xml:space="preserve"> </v>
      </c>
      <c r="P236" s="36">
        <f t="shared" ref="P236:P240" si="75">IF(OR(D236=30,D236=45,D236=60),Q236,COS(R236))</f>
        <v>1</v>
      </c>
      <c r="Q236" s="36" t="e" cm="1">
        <f t="array" ref="Q236">_xlfn.IFS(D236=30,0.87,D236=45,0.7,D236=60,0.5)</f>
        <v>#N/A</v>
      </c>
      <c r="R236" s="36">
        <f t="shared" ref="R236:R240" si="76">(PI()/180)*D236</f>
        <v>0</v>
      </c>
      <c r="S236" s="36" t="e">
        <f>J241/J242</f>
        <v>#VALUE!</v>
      </c>
    </row>
    <row r="237" spans="1:22" ht="15" customHeight="1" x14ac:dyDescent="0.25">
      <c r="A237" s="236"/>
      <c r="B237" s="20" t="s">
        <v>201</v>
      </c>
      <c r="C237" s="19"/>
      <c r="D237" s="17"/>
      <c r="E237" s="18"/>
      <c r="F237" s="18"/>
      <c r="G237" s="56"/>
      <c r="H237" s="37" t="str">
        <f>IFERROR(VLOOKUP(E237,'Product Spec'!$O$1:$R$8,3,FALSE)," ")</f>
        <v xml:space="preserve"> </v>
      </c>
      <c r="I237" s="37" t="str">
        <f t="shared" ref="I237:I240" si="77">IFERROR(C237*H237*P237," ")</f>
        <v xml:space="preserve"> </v>
      </c>
      <c r="J237" s="37" t="str">
        <f>IFERROR(VLOOKUP(E237,'Product Spec'!$O$1:$R$8,4,FALSE)," ")</f>
        <v xml:space="preserve"> </v>
      </c>
      <c r="K237" s="43" t="str">
        <f t="shared" si="74"/>
        <v xml:space="preserve"> </v>
      </c>
      <c r="P237" s="36">
        <f t="shared" si="75"/>
        <v>1</v>
      </c>
      <c r="Q237" s="36" t="e" cm="1">
        <f t="array" ref="Q237">_xlfn.IFS(D237=30,0.87,D237=45,0.7,D237=60,0.5)</f>
        <v>#N/A</v>
      </c>
      <c r="R237" s="36">
        <f t="shared" si="76"/>
        <v>0</v>
      </c>
    </row>
    <row r="238" spans="1:22" ht="15" customHeight="1" x14ac:dyDescent="0.25">
      <c r="A238" s="236"/>
      <c r="B238" s="20" t="s">
        <v>202</v>
      </c>
      <c r="C238" s="19"/>
      <c r="D238" s="17"/>
      <c r="E238" s="18"/>
      <c r="F238" s="18"/>
      <c r="G238" s="56"/>
      <c r="H238" s="37" t="str">
        <f>IFERROR(VLOOKUP(E238,'Product Spec'!$O$1:$R$8,3,FALSE)," ")</f>
        <v xml:space="preserve"> </v>
      </c>
      <c r="I238" s="37" t="str">
        <f t="shared" si="77"/>
        <v xml:space="preserve"> </v>
      </c>
      <c r="J238" s="37" t="str">
        <f>IFERROR(VLOOKUP(E238,'Product Spec'!$O$1:$R$8,4,FALSE)," ")</f>
        <v xml:space="preserve"> </v>
      </c>
      <c r="K238" s="43" t="str">
        <f t="shared" si="74"/>
        <v xml:space="preserve"> </v>
      </c>
      <c r="P238" s="36">
        <f t="shared" si="75"/>
        <v>1</v>
      </c>
      <c r="Q238" s="36" t="e" cm="1">
        <f t="array" ref="Q238">_xlfn.IFS(D238=30,0.87,D238=45,0.7,D238=60,0.5)</f>
        <v>#N/A</v>
      </c>
      <c r="R238" s="36">
        <f t="shared" si="76"/>
        <v>0</v>
      </c>
    </row>
    <row r="239" spans="1:22" ht="15" customHeight="1" x14ac:dyDescent="0.25">
      <c r="A239" s="236"/>
      <c r="B239" s="20" t="s">
        <v>203</v>
      </c>
      <c r="C239" s="19"/>
      <c r="D239" s="17"/>
      <c r="E239" s="18"/>
      <c r="F239" s="18"/>
      <c r="G239" s="56"/>
      <c r="H239" s="37" t="str">
        <f>IFERROR(VLOOKUP(E239,'Product Spec'!$O$1:$R$8,3,FALSE)," ")</f>
        <v xml:space="preserve"> </v>
      </c>
      <c r="I239" s="37" t="str">
        <f t="shared" si="77"/>
        <v xml:space="preserve"> </v>
      </c>
      <c r="J239" s="37" t="str">
        <f>IFERROR(VLOOKUP(E239,'Product Spec'!$O$1:$R$8,4,FALSE)," ")</f>
        <v xml:space="preserve"> </v>
      </c>
      <c r="K239" s="43" t="str">
        <f t="shared" si="74"/>
        <v xml:space="preserve"> </v>
      </c>
      <c r="P239" s="36">
        <f t="shared" si="75"/>
        <v>1</v>
      </c>
      <c r="Q239" s="36" t="e" cm="1">
        <f t="array" ref="Q239">_xlfn.IFS(D239=30,0.87,D239=45,0.7,D239=60,0.5)</f>
        <v>#N/A</v>
      </c>
      <c r="R239" s="36">
        <f t="shared" si="76"/>
        <v>0</v>
      </c>
    </row>
    <row r="240" spans="1:22" ht="15" customHeight="1" x14ac:dyDescent="0.25">
      <c r="A240" s="236"/>
      <c r="B240" s="20" t="s">
        <v>204</v>
      </c>
      <c r="C240" s="19"/>
      <c r="D240" s="17"/>
      <c r="E240" s="18"/>
      <c r="F240" s="18"/>
      <c r="G240" s="56"/>
      <c r="H240" s="37" t="str">
        <f>IFERROR(VLOOKUP(E240,'Product Spec'!$O$1:$R$8,3,FALSE)," ")</f>
        <v xml:space="preserve"> </v>
      </c>
      <c r="I240" s="37" t="str">
        <f t="shared" si="77"/>
        <v xml:space="preserve"> </v>
      </c>
      <c r="J240" s="37" t="str">
        <f>IFERROR(VLOOKUP(E240,'Product Spec'!$O$1:$R$8,4,FALSE)," ")</f>
        <v xml:space="preserve"> </v>
      </c>
      <c r="K240" s="43" t="str">
        <f t="shared" si="74"/>
        <v xml:space="preserve"> </v>
      </c>
      <c r="P240" s="36">
        <f t="shared" si="75"/>
        <v>1</v>
      </c>
      <c r="Q240" s="36" t="e" cm="1">
        <f t="array" ref="Q240">_xlfn.IFS(D240=30,0.87,D240=45,0.7,D240=60,0.5)</f>
        <v>#N/A</v>
      </c>
      <c r="R240" s="36">
        <f t="shared" si="76"/>
        <v>0</v>
      </c>
    </row>
    <row r="241" spans="1:22" ht="15" customHeight="1" x14ac:dyDescent="0.25">
      <c r="A241" s="236"/>
      <c r="B241" s="98" t="s">
        <v>170</v>
      </c>
      <c r="C241" s="99"/>
      <c r="D241" s="99"/>
      <c r="E241" s="99"/>
      <c r="F241" s="99"/>
      <c r="G241" s="100"/>
      <c r="H241" s="217" cm="1">
        <f t="array" ref="H241">IF(D130&lt;10,0,SUM(IFERROR(I235:I240,0)))</f>
        <v>0</v>
      </c>
      <c r="I241" s="217"/>
      <c r="J241" s="217" cm="1">
        <f t="array" ref="J241">IF(D130&lt;10,0,SUM(IFERROR(K235:K240,0)))</f>
        <v>0</v>
      </c>
      <c r="K241" s="218"/>
    </row>
    <row r="242" spans="1:22" ht="15" customHeight="1" x14ac:dyDescent="0.25">
      <c r="A242" s="44" t="s">
        <v>168</v>
      </c>
      <c r="B242" s="160"/>
      <c r="C242" s="161"/>
      <c r="D242" s="99" t="s">
        <v>166</v>
      </c>
      <c r="E242" s="99"/>
      <c r="F242" s="99"/>
      <c r="G242" s="100"/>
      <c r="H242" s="147" t="e">
        <f>MAX(100,(0.5*$D$125)/$D$130,V235)</f>
        <v>#VALUE!</v>
      </c>
      <c r="I242" s="148"/>
      <c r="J242" s="147" t="e">
        <f>MAX(100,(0.5*$I$125)/$D$130,V235)</f>
        <v>#VALUE!</v>
      </c>
      <c r="K242" s="149"/>
    </row>
    <row r="243" spans="1:22" s="49" customFormat="1" ht="15" customHeight="1" x14ac:dyDescent="0.25">
      <c r="A243" s="208" t="e">
        <f>IF(OR(S235&lt;1,S236&lt;1),"Warning: Doesn’t meet the minimum BU's requirement per line."," ")</f>
        <v>#VALUE!</v>
      </c>
      <c r="B243" s="209"/>
      <c r="C243" s="209"/>
      <c r="D243" s="209"/>
      <c r="E243" s="209"/>
      <c r="F243" s="209"/>
      <c r="G243" s="209"/>
      <c r="H243" s="209"/>
      <c r="I243" s="209"/>
      <c r="J243" s="209"/>
      <c r="K243" s="210"/>
      <c r="L243" s="51"/>
    </row>
    <row r="244" spans="1:22" ht="15" customHeight="1" thickBot="1" x14ac:dyDescent="0.3">
      <c r="A244" s="211"/>
      <c r="B244" s="212"/>
      <c r="C244" s="212"/>
      <c r="D244" s="212"/>
      <c r="E244" s="212"/>
      <c r="F244" s="212"/>
      <c r="G244" s="212"/>
      <c r="H244" s="212"/>
      <c r="I244" s="212"/>
      <c r="J244" s="212"/>
      <c r="K244" s="213"/>
      <c r="N244" s="49"/>
      <c r="O244" s="49"/>
      <c r="P244" s="49"/>
      <c r="Q244" s="49"/>
      <c r="R244" s="49"/>
      <c r="S244" s="49"/>
      <c r="T244" s="49"/>
      <c r="U244" s="49"/>
      <c r="V244" s="49"/>
    </row>
  </sheetData>
  <sheetProtection algorithmName="SHA-512" hashValue="ak37hN3xGBgjWGcHY23SsCYZgo24UdSaK+hT8MgbFb1QB0Yp80WAg13/BXwsj7xMRXm2ef9ajbRxC/CiNUX8oQ==" saltValue="kHqWuf0Nps2cwqKll+gZwg==" spinCount="100000" sheet="1" objects="1" scenarios="1"/>
  <protectedRanges>
    <protectedRange sqref="D130 C136:F141 B143 C147:F152 B154 C158:F163 B165 C169:F174 B176 C180:F185 C191:F196 B198 C202:F207 B209 C213:F218 B220 C224:F229 B231 C235:F240 B242 B187" name="Range2"/>
    <protectedRange sqref="D8 C14:F19 B21 C25:F30 B32 C36:F41 B43 C47:F52 B54 C58:F63 B65 C69:F74 B76 C80:F85 B87 C91:F96 B98 C102:F107 B109 C113:F118 B120" name="Range1"/>
  </protectedRanges>
  <dataConsolidate/>
  <mergeCells count="268">
    <mergeCell ref="A1:K1"/>
    <mergeCell ref="A2:F2"/>
    <mergeCell ref="G2:K2"/>
    <mergeCell ref="A3:C3"/>
    <mergeCell ref="D3:E3"/>
    <mergeCell ref="B241:G241"/>
    <mergeCell ref="B242:C242"/>
    <mergeCell ref="B230:G230"/>
    <mergeCell ref="B231:C231"/>
    <mergeCell ref="B219:G219"/>
    <mergeCell ref="B220:C220"/>
    <mergeCell ref="B208:G208"/>
    <mergeCell ref="B209:C209"/>
    <mergeCell ref="B197:G197"/>
    <mergeCell ref="B198:C198"/>
    <mergeCell ref="D198:G198"/>
    <mergeCell ref="D242:G242"/>
    <mergeCell ref="G3:H3"/>
    <mergeCell ref="I3:J3"/>
    <mergeCell ref="A12:G12"/>
    <mergeCell ref="H12:I12"/>
    <mergeCell ref="J12:K12"/>
    <mergeCell ref="A14:A20"/>
    <mergeCell ref="H20:I20"/>
    <mergeCell ref="J20:K20"/>
    <mergeCell ref="A6:F7"/>
    <mergeCell ref="G6:K7"/>
    <mergeCell ref="A8:C10"/>
    <mergeCell ref="D8:D10"/>
    <mergeCell ref="E8:K10"/>
    <mergeCell ref="A11:K11"/>
    <mergeCell ref="B20:G20"/>
    <mergeCell ref="A4:C4"/>
    <mergeCell ref="D4:E4"/>
    <mergeCell ref="G4:H4"/>
    <mergeCell ref="I4:J4"/>
    <mergeCell ref="A5:C5"/>
    <mergeCell ref="D5:E5"/>
    <mergeCell ref="G5:H5"/>
    <mergeCell ref="I5:J5"/>
    <mergeCell ref="B31:G31"/>
    <mergeCell ref="B21:C21"/>
    <mergeCell ref="D32:G32"/>
    <mergeCell ref="H32:I32"/>
    <mergeCell ref="J32:K32"/>
    <mergeCell ref="A33:K33"/>
    <mergeCell ref="A34:K34"/>
    <mergeCell ref="A36:A42"/>
    <mergeCell ref="H42:I42"/>
    <mergeCell ref="J42:K42"/>
    <mergeCell ref="G35:G41"/>
    <mergeCell ref="B42:G42"/>
    <mergeCell ref="B32:C32"/>
    <mergeCell ref="D21:G21"/>
    <mergeCell ref="H21:I21"/>
    <mergeCell ref="J21:K21"/>
    <mergeCell ref="A22:K22"/>
    <mergeCell ref="A23:K23"/>
    <mergeCell ref="A25:A31"/>
    <mergeCell ref="H31:I31"/>
    <mergeCell ref="J31:K31"/>
    <mergeCell ref="D43:G43"/>
    <mergeCell ref="H43:I43"/>
    <mergeCell ref="J43:K43"/>
    <mergeCell ref="A44:K44"/>
    <mergeCell ref="A45:K45"/>
    <mergeCell ref="A47:A53"/>
    <mergeCell ref="H53:I53"/>
    <mergeCell ref="J53:K53"/>
    <mergeCell ref="G46:G52"/>
    <mergeCell ref="B53:G53"/>
    <mergeCell ref="B43:C43"/>
    <mergeCell ref="D54:G54"/>
    <mergeCell ref="H54:I54"/>
    <mergeCell ref="J54:K54"/>
    <mergeCell ref="A55:K55"/>
    <mergeCell ref="A56:K56"/>
    <mergeCell ref="A58:A64"/>
    <mergeCell ref="H64:I64"/>
    <mergeCell ref="J64:K64"/>
    <mergeCell ref="G57:G63"/>
    <mergeCell ref="B64:G64"/>
    <mergeCell ref="B54:C54"/>
    <mergeCell ref="D65:G65"/>
    <mergeCell ref="H65:I65"/>
    <mergeCell ref="J65:K65"/>
    <mergeCell ref="A66:K66"/>
    <mergeCell ref="A67:K67"/>
    <mergeCell ref="A69:A75"/>
    <mergeCell ref="H75:I75"/>
    <mergeCell ref="J75:K75"/>
    <mergeCell ref="G68:G74"/>
    <mergeCell ref="B75:G75"/>
    <mergeCell ref="B65:C65"/>
    <mergeCell ref="D76:G76"/>
    <mergeCell ref="H76:I76"/>
    <mergeCell ref="J76:K76"/>
    <mergeCell ref="A77:K77"/>
    <mergeCell ref="A78:K78"/>
    <mergeCell ref="A80:A86"/>
    <mergeCell ref="H86:I86"/>
    <mergeCell ref="J86:K86"/>
    <mergeCell ref="G79:G85"/>
    <mergeCell ref="B86:G86"/>
    <mergeCell ref="B76:C76"/>
    <mergeCell ref="D87:G87"/>
    <mergeCell ref="H87:I87"/>
    <mergeCell ref="J87:K87"/>
    <mergeCell ref="A88:K88"/>
    <mergeCell ref="A89:K89"/>
    <mergeCell ref="A91:A97"/>
    <mergeCell ref="H97:I97"/>
    <mergeCell ref="J97:K97"/>
    <mergeCell ref="B97:G97"/>
    <mergeCell ref="B87:C87"/>
    <mergeCell ref="D98:G98"/>
    <mergeCell ref="H98:I98"/>
    <mergeCell ref="J98:K98"/>
    <mergeCell ref="A99:K99"/>
    <mergeCell ref="A100:K100"/>
    <mergeCell ref="A102:A108"/>
    <mergeCell ref="H108:I108"/>
    <mergeCell ref="J108:K108"/>
    <mergeCell ref="B108:G108"/>
    <mergeCell ref="B98:C98"/>
    <mergeCell ref="D120:G120"/>
    <mergeCell ref="H120:I120"/>
    <mergeCell ref="J120:K120"/>
    <mergeCell ref="A121:K121"/>
    <mergeCell ref="A122:K122"/>
    <mergeCell ref="A123:K123"/>
    <mergeCell ref="D109:G109"/>
    <mergeCell ref="H109:I109"/>
    <mergeCell ref="J109:K109"/>
    <mergeCell ref="A110:K110"/>
    <mergeCell ref="A111:K111"/>
    <mergeCell ref="A113:A119"/>
    <mergeCell ref="H119:I119"/>
    <mergeCell ref="J119:K119"/>
    <mergeCell ref="B119:G119"/>
    <mergeCell ref="B120:C120"/>
    <mergeCell ref="B109:C109"/>
    <mergeCell ref="A126:C126"/>
    <mergeCell ref="D126:E126"/>
    <mergeCell ref="G126:H126"/>
    <mergeCell ref="I126:J126"/>
    <mergeCell ref="A127:C127"/>
    <mergeCell ref="D127:E127"/>
    <mergeCell ref="G127:H127"/>
    <mergeCell ref="I127:J127"/>
    <mergeCell ref="A124:F124"/>
    <mergeCell ref="G124:K124"/>
    <mergeCell ref="A125:C125"/>
    <mergeCell ref="G125:H125"/>
    <mergeCell ref="I125:J125"/>
    <mergeCell ref="D125:E125"/>
    <mergeCell ref="A134:G134"/>
    <mergeCell ref="H134:I134"/>
    <mergeCell ref="J134:K134"/>
    <mergeCell ref="A136:A142"/>
    <mergeCell ref="H142:I142"/>
    <mergeCell ref="J142:K142"/>
    <mergeCell ref="G135:G141"/>
    <mergeCell ref="A128:F129"/>
    <mergeCell ref="G128:K129"/>
    <mergeCell ref="A130:C132"/>
    <mergeCell ref="D130:D132"/>
    <mergeCell ref="E130:K132"/>
    <mergeCell ref="A133:K133"/>
    <mergeCell ref="B142:G142"/>
    <mergeCell ref="D143:G143"/>
    <mergeCell ref="H143:I143"/>
    <mergeCell ref="J143:K143"/>
    <mergeCell ref="A144:K144"/>
    <mergeCell ref="A145:K145"/>
    <mergeCell ref="A147:A153"/>
    <mergeCell ref="H153:I153"/>
    <mergeCell ref="J153:K153"/>
    <mergeCell ref="G146:G152"/>
    <mergeCell ref="B153:G153"/>
    <mergeCell ref="B143:C143"/>
    <mergeCell ref="D154:G154"/>
    <mergeCell ref="H154:I154"/>
    <mergeCell ref="J154:K154"/>
    <mergeCell ref="A155:K155"/>
    <mergeCell ref="A156:K156"/>
    <mergeCell ref="A158:A164"/>
    <mergeCell ref="H164:I164"/>
    <mergeCell ref="J164:K164"/>
    <mergeCell ref="G157:G163"/>
    <mergeCell ref="B164:G164"/>
    <mergeCell ref="B154:C154"/>
    <mergeCell ref="D165:G165"/>
    <mergeCell ref="H165:I165"/>
    <mergeCell ref="J165:K165"/>
    <mergeCell ref="A166:K166"/>
    <mergeCell ref="A167:K167"/>
    <mergeCell ref="A169:A175"/>
    <mergeCell ref="H175:I175"/>
    <mergeCell ref="J175:K175"/>
    <mergeCell ref="G168:G174"/>
    <mergeCell ref="B175:G175"/>
    <mergeCell ref="B165:C165"/>
    <mergeCell ref="D176:G176"/>
    <mergeCell ref="H176:I176"/>
    <mergeCell ref="J176:K176"/>
    <mergeCell ref="A177:K177"/>
    <mergeCell ref="A178:K178"/>
    <mergeCell ref="A180:A186"/>
    <mergeCell ref="H186:I186"/>
    <mergeCell ref="J186:K186"/>
    <mergeCell ref="G179:G185"/>
    <mergeCell ref="B176:C176"/>
    <mergeCell ref="B186:G186"/>
    <mergeCell ref="D187:G187"/>
    <mergeCell ref="H187:I187"/>
    <mergeCell ref="J187:K187"/>
    <mergeCell ref="A188:K188"/>
    <mergeCell ref="A189:K189"/>
    <mergeCell ref="A191:A197"/>
    <mergeCell ref="H197:I197"/>
    <mergeCell ref="J197:K197"/>
    <mergeCell ref="G190:G196"/>
    <mergeCell ref="B187:C187"/>
    <mergeCell ref="H198:I198"/>
    <mergeCell ref="J198:K198"/>
    <mergeCell ref="A199:K199"/>
    <mergeCell ref="A200:K200"/>
    <mergeCell ref="A202:A208"/>
    <mergeCell ref="H208:I208"/>
    <mergeCell ref="J208:K208"/>
    <mergeCell ref="G201:G207"/>
    <mergeCell ref="A222:K222"/>
    <mergeCell ref="J230:K230"/>
    <mergeCell ref="G223:G229"/>
    <mergeCell ref="D209:G209"/>
    <mergeCell ref="H209:I209"/>
    <mergeCell ref="J209:K209"/>
    <mergeCell ref="A210:K210"/>
    <mergeCell ref="A211:K211"/>
    <mergeCell ref="A213:A219"/>
    <mergeCell ref="H219:I219"/>
    <mergeCell ref="J219:K219"/>
    <mergeCell ref="G212:G218"/>
    <mergeCell ref="H242:I242"/>
    <mergeCell ref="J242:K242"/>
    <mergeCell ref="A243:K243"/>
    <mergeCell ref="A244:K244"/>
    <mergeCell ref="G13:G19"/>
    <mergeCell ref="G24:G30"/>
    <mergeCell ref="G112:G118"/>
    <mergeCell ref="G101:G107"/>
    <mergeCell ref="G90:G96"/>
    <mergeCell ref="D231:G231"/>
    <mergeCell ref="H231:I231"/>
    <mergeCell ref="J231:K231"/>
    <mergeCell ref="A232:K232"/>
    <mergeCell ref="A233:K233"/>
    <mergeCell ref="A235:A241"/>
    <mergeCell ref="H241:I241"/>
    <mergeCell ref="J241:K241"/>
    <mergeCell ref="G234:G240"/>
    <mergeCell ref="D220:G220"/>
    <mergeCell ref="H220:I220"/>
    <mergeCell ref="J220:K220"/>
    <mergeCell ref="A221:K221"/>
    <mergeCell ref="A224:A230"/>
    <mergeCell ref="H230:I230"/>
  </mergeCells>
  <conditionalFormatting sqref="A6:B6 G6">
    <cfRule type="containsText" dxfId="21" priority="219" operator="containsText" text="Fail (Not Enough BU's Achieved).">
      <formula>NOT(ISERROR(SEARCH("Fail (Not Enough BU's Achieved).",A6)))</formula>
    </cfRule>
    <cfRule type="containsText" dxfId="20" priority="220" operator="containsText" text="Pass">
      <formula>NOT(ISERROR(SEARCH("Pass",A6)))</formula>
    </cfRule>
  </conditionalFormatting>
  <conditionalFormatting sqref="A128:B128 G128">
    <cfRule type="containsText" dxfId="19" priority="208" operator="containsText" text="Fail (Not Enough BU's Achieved).">
      <formula>NOT(ISERROR(SEARCH("Fail (Not Enough BU's Achieved).",A128)))</formula>
    </cfRule>
    <cfRule type="containsText" dxfId="18" priority="209" operator="containsText" text="Pass">
      <formula>NOT(ISERROR(SEARCH("Pass",A128)))</formula>
    </cfRule>
  </conditionalFormatting>
  <conditionalFormatting sqref="A24:K122">
    <cfRule type="expression" dxfId="17" priority="18">
      <formula>$D$8=1</formula>
    </cfRule>
  </conditionalFormatting>
  <conditionalFormatting sqref="A35:K122">
    <cfRule type="expression" dxfId="16" priority="17">
      <formula>$D$8=2</formula>
    </cfRule>
  </conditionalFormatting>
  <conditionalFormatting sqref="A46:K122">
    <cfRule type="expression" dxfId="15" priority="16">
      <formula>$D$8=3</formula>
    </cfRule>
  </conditionalFormatting>
  <conditionalFormatting sqref="A57:K122">
    <cfRule type="expression" dxfId="14" priority="15">
      <formula>$D$8=4</formula>
    </cfRule>
  </conditionalFormatting>
  <conditionalFormatting sqref="A68:K122">
    <cfRule type="expression" dxfId="13" priority="14">
      <formula>$D$8=5</formula>
    </cfRule>
  </conditionalFormatting>
  <conditionalFormatting sqref="A79:K122">
    <cfRule type="expression" dxfId="12" priority="13">
      <formula>$D$8=6</formula>
    </cfRule>
  </conditionalFormatting>
  <conditionalFormatting sqref="A90:K122">
    <cfRule type="expression" dxfId="11" priority="12">
      <formula>$D$8=7</formula>
    </cfRule>
  </conditionalFormatting>
  <conditionalFormatting sqref="A101:K122">
    <cfRule type="expression" dxfId="10" priority="11">
      <formula>$D$8=8</formula>
    </cfRule>
  </conditionalFormatting>
  <conditionalFormatting sqref="A112:K122">
    <cfRule type="expression" dxfId="9" priority="10">
      <formula>$D$8=9</formula>
    </cfRule>
  </conditionalFormatting>
  <conditionalFormatting sqref="A146:K244">
    <cfRule type="expression" dxfId="8" priority="189">
      <formula>$D$130=1</formula>
    </cfRule>
  </conditionalFormatting>
  <conditionalFormatting sqref="A157:K244">
    <cfRule type="expression" dxfId="7" priority="188">
      <formula>$D$130=2</formula>
    </cfRule>
  </conditionalFormatting>
  <conditionalFormatting sqref="A168:K244">
    <cfRule type="expression" dxfId="6" priority="187">
      <formula>$D$130=3</formula>
    </cfRule>
  </conditionalFormatting>
  <conditionalFormatting sqref="A179:K244">
    <cfRule type="expression" dxfId="5" priority="186">
      <formula>$D$130=4</formula>
    </cfRule>
  </conditionalFormatting>
  <conditionalFormatting sqref="A190:K244">
    <cfRule type="expression" dxfId="4" priority="185">
      <formula>$D$130=5</formula>
    </cfRule>
  </conditionalFormatting>
  <conditionalFormatting sqref="A201:K244">
    <cfRule type="expression" dxfId="3" priority="184">
      <formula>$D$130=6</formula>
    </cfRule>
  </conditionalFormatting>
  <conditionalFormatting sqref="A212:K244">
    <cfRule type="expression" dxfId="2" priority="183">
      <formula>$D$130=7</formula>
    </cfRule>
  </conditionalFormatting>
  <conditionalFormatting sqref="A223:K244">
    <cfRule type="expression" dxfId="1" priority="182">
      <formula>$D$130=8</formula>
    </cfRule>
  </conditionalFormatting>
  <conditionalFormatting sqref="A233:K244">
    <cfRule type="expression" dxfId="0" priority="181">
      <formula>$D$130=9</formula>
    </cfRule>
  </conditionalFormatting>
  <dataValidations count="2">
    <dataValidation type="whole" operator="lessThan" allowBlank="1" showInputMessage="1" showErrorMessage="1" error="Angles must less than 90 degree" sqref="D25:D30 D102:D107 D14:D19 D36:D41 D47:D52 D58:D63 D69:D74 D80:D85 D91:D96 D113:D118 D147:D152 D224:D229 D136:D141 D158:D163 D169:D174 D180:D185 D191:D196 D202:D207 D213:D218 D235:D240" xr:uid="{F966EF35-F3D6-4D35-B80D-9A5A74B09249}">
      <formula1>90</formula1>
    </dataValidation>
    <dataValidation type="whole" operator="lessThanOrEqual" allowBlank="1" showInputMessage="1" showErrorMessage="1" error="Maximum 10 bracing lines" sqref="D8 D130" xr:uid="{72C72BF5-5D56-4415-8FD9-3F804F1E5322}">
      <formula1>10</formula1>
    </dataValidation>
  </dataValidations>
  <printOptions horizontalCentered="1" verticalCentered="1"/>
  <pageMargins left="0.70866141732283472" right="0.70866141732283472" top="0.74803149606299213" bottom="0.74803149606299213" header="0.31496062992125984" footer="0.31496062992125984"/>
  <pageSetup paperSize="9" scale="38" fitToWidth="2" fitToHeight="2" orientation="portrait" r:id="rId1"/>
  <rowBreaks count="1" manualBreakCount="1">
    <brk id="122" max="9" man="1"/>
  </rowBreaks>
  <ignoredErrors>
    <ignoredError sqref="B14:B19 B25:B30 B36:B41 B47:B52 B58:B63 B69:B74 B80:B85 B91:B96 B102:B107 B113:B118 B136:B141 B147:B152 B158:B163 B169:B174 B180:B185 B191:B196 B202:B207 B213:B218 B224:B229 B235:B240" numberStoredAsText="1"/>
  </ignoredErrors>
  <extLst>
    <ext xmlns:x14="http://schemas.microsoft.com/office/spreadsheetml/2009/9/main" uri="{CCE6A557-97BC-4b89-ADB6-D9C93CAAB3DF}">
      <x14:dataValidations xmlns:xm="http://schemas.microsoft.com/office/excel/2006/main" count="2">
        <x14:dataValidation type="list" allowBlank="1" showInputMessage="1" showErrorMessage="1" xr:uid="{E582F480-94C8-4FA6-AB75-2D18B1DE4687}">
          <x14:formula1>
            <xm:f>'Product Spec'!$O$1:$O$8</xm:f>
          </x14:formula1>
          <xm:sqref>E14:E19 E25:E30 E36:E41 E47:E52 E58:E63 E69:E74 E80:E85 E91:E96 E102:E107 E113:E118 E136:E141 E147:E152 E158:E163 E169:E174 E180:E185 E191:E196 E202:E207 E213:E218 E224:E229 E235:E240</xm:sqref>
        </x14:dataValidation>
        <x14:dataValidation type="list" allowBlank="1" showInputMessage="1" showErrorMessage="1" xr:uid="{D43F50F3-AB7B-40E7-88F9-7A5B9015CB74}">
          <x14:formula1>
            <xm:f>'Product Spec'!$J:$J</xm:f>
          </x14:formula1>
          <xm:sqref>F14 F15 F16 F17 F18 F19 F25 F26 F28 F27 F29 F30 F36 F37 F39 F38 F40 F41 F47 F48 F49 F50 F51 F52 F58 F59 F60 F61 F62 F63 F69 F71 F70 F72 F73 F74 F81 F80 F82 F83 F84 F85 F92 F91 F93 F94 F95 F96 F102 F103 F105 F104 F106 F107 F113 F114 F115 F116 F117 F118 F136 F137 F138 F140 F139 F141 F147 F148 F149 F150 F151 F152 F158 F159 F160 F161 F162 F163 F169 F170 F171 F172 F173 F174 F180 F181 F182 F183 F184 F185 F191 F192 F193 F194 F195 F196 F203 F202 F204 F205 F206 F207 F213 F215 F214 F216 F217 F218 F224 F225 F226 F227 F228 F229 F235 F236 F237 F238 F239 F240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51AEC-305B-481E-9A1D-813DAF786C3E}">
  <dimension ref="A1:R15"/>
  <sheetViews>
    <sheetView topLeftCell="A7" workbookViewId="0">
      <selection activeCell="J33" sqref="J33:J34"/>
    </sheetView>
  </sheetViews>
  <sheetFormatPr defaultRowHeight="15" x14ac:dyDescent="0.25"/>
  <cols>
    <col min="1" max="1" width="27.42578125" customWidth="1"/>
    <col min="2" max="2" width="17.5703125" style="15" customWidth="1"/>
    <col min="3" max="3" width="23.85546875" style="15" customWidth="1"/>
    <col min="4" max="4" width="23.28515625" style="15" customWidth="1"/>
    <col min="10" max="10" width="28.85546875" style="53" customWidth="1"/>
    <col min="15" max="15" width="22.28515625" customWidth="1"/>
  </cols>
  <sheetData>
    <row r="1" spans="1:18" x14ac:dyDescent="0.25">
      <c r="B1" s="13"/>
      <c r="C1" s="13" t="s">
        <v>135</v>
      </c>
      <c r="D1" s="13" t="s">
        <v>136</v>
      </c>
      <c r="I1" s="13"/>
      <c r="J1" s="13"/>
      <c r="M1" s="230" t="s">
        <v>148</v>
      </c>
      <c r="N1" s="231"/>
      <c r="O1" s="13"/>
      <c r="P1" s="13"/>
      <c r="Q1" s="13">
        <v>0</v>
      </c>
      <c r="R1" s="13">
        <v>0</v>
      </c>
    </row>
    <row r="2" spans="1:18" x14ac:dyDescent="0.25">
      <c r="A2" t="s">
        <v>149</v>
      </c>
      <c r="B2" s="13" t="s">
        <v>132</v>
      </c>
      <c r="C2" s="13">
        <v>81</v>
      </c>
      <c r="D2" s="13">
        <v>94</v>
      </c>
      <c r="I2" s="21" t="s">
        <v>137</v>
      </c>
      <c r="J2" s="13" t="s">
        <v>134</v>
      </c>
      <c r="M2" s="232"/>
      <c r="N2" s="233"/>
      <c r="O2" s="13" t="s">
        <v>159</v>
      </c>
      <c r="P2" s="13">
        <v>0.75</v>
      </c>
      <c r="Q2" s="13">
        <v>42</v>
      </c>
      <c r="R2" s="13">
        <v>42</v>
      </c>
    </row>
    <row r="3" spans="1:18" x14ac:dyDescent="0.25">
      <c r="B3" s="13" t="s">
        <v>133</v>
      </c>
      <c r="C3" s="13">
        <v>89</v>
      </c>
      <c r="D3" s="13">
        <v>88</v>
      </c>
      <c r="I3" s="14"/>
      <c r="J3" s="54" t="s">
        <v>205</v>
      </c>
      <c r="M3" s="232"/>
      <c r="N3" s="233"/>
      <c r="O3" s="13" t="s">
        <v>160</v>
      </c>
      <c r="P3" s="13">
        <v>1.5</v>
      </c>
      <c r="Q3" s="13">
        <v>100</v>
      </c>
      <c r="R3" s="13">
        <v>100</v>
      </c>
    </row>
    <row r="4" spans="1:18" x14ac:dyDescent="0.25">
      <c r="B4" s="13" t="s">
        <v>138</v>
      </c>
      <c r="C4" s="13">
        <v>142</v>
      </c>
      <c r="D4" s="13">
        <v>104</v>
      </c>
      <c r="I4" s="14"/>
      <c r="J4" s="52"/>
      <c r="M4" s="232"/>
      <c r="N4" s="233"/>
      <c r="O4" s="13" t="s">
        <v>161</v>
      </c>
      <c r="P4" s="13">
        <v>3</v>
      </c>
      <c r="Q4" s="13">
        <v>200</v>
      </c>
      <c r="R4" s="13">
        <v>200</v>
      </c>
    </row>
    <row r="5" spans="1:18" x14ac:dyDescent="0.25">
      <c r="I5" s="14"/>
      <c r="J5" s="52"/>
      <c r="M5" s="232"/>
      <c r="N5" s="233"/>
      <c r="O5" s="13" t="s">
        <v>162</v>
      </c>
      <c r="P5" s="13">
        <v>4.5</v>
      </c>
      <c r="Q5" s="13">
        <v>300</v>
      </c>
      <c r="R5" s="13">
        <v>300</v>
      </c>
    </row>
    <row r="6" spans="1:18" x14ac:dyDescent="0.25">
      <c r="I6" s="14"/>
      <c r="J6" s="52"/>
      <c r="M6" s="232"/>
      <c r="N6" s="233"/>
      <c r="O6" s="13" t="s">
        <v>120</v>
      </c>
      <c r="P6" s="13"/>
      <c r="Q6" s="13">
        <v>120</v>
      </c>
      <c r="R6" s="13">
        <v>160</v>
      </c>
    </row>
    <row r="7" spans="1:18" x14ac:dyDescent="0.25">
      <c r="I7" s="14"/>
      <c r="J7" s="52"/>
      <c r="M7" s="232"/>
      <c r="N7" s="233"/>
      <c r="O7" s="13" t="s">
        <v>121</v>
      </c>
      <c r="P7" s="13"/>
      <c r="Q7" s="13">
        <v>30</v>
      </c>
      <c r="R7" s="13">
        <v>70</v>
      </c>
    </row>
    <row r="8" spans="1:18" x14ac:dyDescent="0.25">
      <c r="I8" s="14"/>
      <c r="J8" s="52"/>
      <c r="M8" s="234"/>
      <c r="N8" s="235"/>
      <c r="O8" s="13" t="s">
        <v>122</v>
      </c>
      <c r="P8" s="13"/>
      <c r="Q8" s="13">
        <v>120</v>
      </c>
      <c r="R8" s="13">
        <v>160</v>
      </c>
    </row>
    <row r="9" spans="1:18" x14ac:dyDescent="0.25">
      <c r="I9" s="14"/>
      <c r="J9" s="52"/>
    </row>
    <row r="10" spans="1:18" x14ac:dyDescent="0.25">
      <c r="I10" s="14"/>
      <c r="J10" s="52"/>
    </row>
    <row r="11" spans="1:18" x14ac:dyDescent="0.25">
      <c r="I11" s="14"/>
      <c r="J11" s="52"/>
    </row>
    <row r="12" spans="1:18" x14ac:dyDescent="0.25">
      <c r="I12" s="14"/>
      <c r="J12" s="52"/>
    </row>
    <row r="13" spans="1:18" x14ac:dyDescent="0.25">
      <c r="I13" s="14"/>
      <c r="J13" s="52"/>
    </row>
    <row r="14" spans="1:18" x14ac:dyDescent="0.25">
      <c r="I14" s="14"/>
      <c r="J14" s="52"/>
    </row>
    <row r="15" spans="1:18" x14ac:dyDescent="0.25">
      <c r="I15" s="14"/>
      <c r="J15" s="52"/>
    </row>
  </sheetData>
  <sheetProtection algorithmName="SHA-512" hashValue="6Uaem7MugiEiQQLxjnF0+f7H/O8KeYdunjv51R/+0SDqEL8Vc9iBGLjkxgeyKiyykOs92dNpTZRRs+oB2hX8Ig==" saltValue="d6CrR+9UbII7midwCXFFcw==" spinCount="100000" sheet="1" objects="1" scenarios="1"/>
  <protectedRanges>
    <protectedRange sqref="B5:D1048576" name="Range1"/>
  </protectedRanges>
  <mergeCells count="1">
    <mergeCell ref="M1:N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Bracing demand</vt:lpstr>
      <vt:lpstr>Bracing design(Single) </vt:lpstr>
      <vt:lpstr>Bracing design(Double-Upper)</vt:lpstr>
      <vt:lpstr>Bracing design(Double-Lower)</vt:lpstr>
      <vt:lpstr>Bracing design(Subfloor)</vt:lpstr>
      <vt:lpstr>Product Spec</vt:lpstr>
      <vt:lpstr>'Bracing demand'!Print_Area</vt:lpstr>
      <vt:lpstr>'Bracing design(Double-Lower)'!Print_Area</vt:lpstr>
      <vt:lpstr>'Bracing design(Double-Upper)'!Print_Area</vt:lpstr>
      <vt:lpstr>'Bracing design(Single) '!Print_Area</vt:lpstr>
      <vt:lpstr>'Bracing design(Subfloor)'!Print_Area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Irving Yang</dc:creator>
  <cp:lastModifiedBy>Irving Yang</cp:lastModifiedBy>
  <cp:lastPrinted>2023-02-22T01:58:03Z</cp:lastPrinted>
  <dcterms:created xsi:type="dcterms:W3CDTF">2022-09-19T02:57:21Z</dcterms:created>
  <dcterms:modified xsi:type="dcterms:W3CDTF">2023-03-22T05:39:12Z</dcterms:modified>
</cp:coreProperties>
</file>